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oaqu\Downloads\"/>
    </mc:Choice>
  </mc:AlternateContent>
  <xr:revisionPtr revIDLastSave="0" documentId="13_ncr:1_{1E228644-A108-42F7-8BE8-5A7089A3322B}" xr6:coauthVersionLast="47" xr6:coauthVersionMax="47" xr10:uidLastSave="{00000000-0000-0000-0000-000000000000}"/>
  <bookViews>
    <workbookView xWindow="-108" yWindow="-108" windowWidth="23256" windowHeight="12456" firstSheet="3" activeTab="3" xr2:uid="{F9F11C5C-3F8E-4336-9B34-3DB943DD86A4}"/>
  </bookViews>
  <sheets>
    <sheet name="Índice completo" sheetId="1" r:id="rId1"/>
    <sheet name="O'Higgins · Panel" sheetId="7" r:id="rId2"/>
    <sheet name="O'Higgins" sheetId="8" r:id="rId3"/>
    <sheet name="Comparador" sheetId="2" r:id="rId4"/>
    <sheet name="Nacional · Panel" sheetId="5" r:id="rId5"/>
    <sheet name="Nacional" sheetId="6" r:id="rId6"/>
    <sheet name="Base Nacional y Regiones" sheetId="3" r:id="rId7"/>
  </sheets>
  <definedNames>
    <definedName name="_xlnm._FilterDatabase" localSheetId="6" hidden="1">'Base Nacional y Regiones'!$A$4:$X$433</definedName>
    <definedName name="_xlnm._FilterDatabase" localSheetId="5" hidden="1">Nacional!$A$4:$G$431</definedName>
    <definedName name="_xlnm._FilterDatabase" localSheetId="2" hidden="1">'O''Higgins'!$A$4:$H$433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2" l="1"/>
  <c r="M14" i="2"/>
  <c r="A38" i="2"/>
  <c r="I13" i="2"/>
  <c r="B13" i="2" s="1"/>
  <c r="J13" i="2"/>
  <c r="F13" i="2" s="1"/>
  <c r="I14" i="2"/>
  <c r="J14" i="2"/>
  <c r="G17" i="5"/>
  <c r="E17" i="5"/>
  <c r="C17" i="5"/>
  <c r="A17" i="5"/>
  <c r="H13" i="2"/>
  <c r="H14" i="2"/>
  <c r="N107" i="7"/>
  <c r="M107" i="7"/>
  <c r="N106" i="7"/>
  <c r="M106" i="7"/>
  <c r="N105" i="7"/>
  <c r="M105" i="7"/>
  <c r="N104" i="7"/>
  <c r="M104" i="7"/>
  <c r="N103" i="7"/>
  <c r="M103" i="7"/>
  <c r="N102" i="7"/>
  <c r="M102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N82" i="7"/>
  <c r="M82" i="7"/>
  <c r="N81" i="7"/>
  <c r="M81" i="7"/>
  <c r="N80" i="7"/>
  <c r="M80" i="7"/>
  <c r="N79" i="7"/>
  <c r="M79" i="7"/>
  <c r="N78" i="7"/>
  <c r="M78" i="7"/>
  <c r="N77" i="7"/>
  <c r="M77" i="7"/>
  <c r="N76" i="7"/>
  <c r="M76" i="7"/>
  <c r="N75" i="7"/>
  <c r="M75" i="7"/>
  <c r="N74" i="7"/>
  <c r="M74" i="7"/>
  <c r="N73" i="7"/>
  <c r="M73" i="7"/>
  <c r="N72" i="7"/>
  <c r="M72" i="7"/>
  <c r="N71" i="7"/>
  <c r="M71" i="7"/>
  <c r="N67" i="7"/>
  <c r="M67" i="7"/>
  <c r="N66" i="7"/>
  <c r="M66" i="7"/>
  <c r="N65" i="7"/>
  <c r="M65" i="7"/>
  <c r="H32" i="7"/>
  <c r="D32" i="7"/>
  <c r="H31" i="7"/>
  <c r="D31" i="7"/>
  <c r="H30" i="7"/>
  <c r="D30" i="7"/>
  <c r="H29" i="7"/>
  <c r="D29" i="7"/>
  <c r="H28" i="7"/>
  <c r="D28" i="7"/>
  <c r="H27" i="7"/>
  <c r="D27" i="7"/>
  <c r="H26" i="7"/>
  <c r="D26" i="7"/>
  <c r="H25" i="7"/>
  <c r="D25" i="7"/>
  <c r="H24" i="7"/>
  <c r="D24" i="7"/>
  <c r="G21" i="7"/>
  <c r="E21" i="7"/>
  <c r="C21" i="7"/>
  <c r="A21" i="7"/>
  <c r="G20" i="7"/>
  <c r="E20" i="7"/>
  <c r="C20" i="7"/>
  <c r="A20" i="7"/>
  <c r="G18" i="7"/>
  <c r="E18" i="7"/>
  <c r="C18" i="7"/>
  <c r="A18" i="7"/>
  <c r="G17" i="7"/>
  <c r="E17" i="7"/>
  <c r="C17" i="7"/>
  <c r="A17" i="7"/>
  <c r="G15" i="7"/>
  <c r="E15" i="7"/>
  <c r="C15" i="7"/>
  <c r="A15" i="7"/>
  <c r="G14" i="7"/>
  <c r="E14" i="7"/>
  <c r="C14" i="7"/>
  <c r="A14" i="7"/>
  <c r="G12" i="7"/>
  <c r="E12" i="7"/>
  <c r="C12" i="7"/>
  <c r="A12" i="7"/>
  <c r="G11" i="7"/>
  <c r="E11" i="7"/>
  <c r="C11" i="7"/>
  <c r="A11" i="7"/>
  <c r="G8" i="7"/>
  <c r="E8" i="7"/>
  <c r="C8" i="7"/>
  <c r="A8" i="7"/>
  <c r="M44" i="5"/>
  <c r="M43" i="5"/>
  <c r="M42" i="5"/>
  <c r="M41" i="5"/>
  <c r="M40" i="5"/>
  <c r="M39" i="5"/>
  <c r="M35" i="5"/>
  <c r="M34" i="5"/>
  <c r="M33" i="5"/>
  <c r="M32" i="5"/>
  <c r="M31" i="5"/>
  <c r="M30" i="5"/>
  <c r="M29" i="5"/>
  <c r="M28" i="5"/>
  <c r="H28" i="5"/>
  <c r="D28" i="5"/>
  <c r="M27" i="5"/>
  <c r="H27" i="5"/>
  <c r="D27" i="5"/>
  <c r="M26" i="5"/>
  <c r="H26" i="5"/>
  <c r="D26" i="5"/>
  <c r="M25" i="5"/>
  <c r="H25" i="5"/>
  <c r="D25" i="5"/>
  <c r="M24" i="5"/>
  <c r="H24" i="5"/>
  <c r="D24" i="5"/>
  <c r="M23" i="5"/>
  <c r="H23" i="5"/>
  <c r="D23" i="5"/>
  <c r="H22" i="5"/>
  <c r="D22" i="5"/>
  <c r="H21" i="5"/>
  <c r="D21" i="5"/>
  <c r="H20" i="5"/>
  <c r="D20" i="5"/>
  <c r="M19" i="5"/>
  <c r="M18" i="5"/>
  <c r="M15" i="5"/>
  <c r="G15" i="5"/>
  <c r="E15" i="5"/>
  <c r="C15" i="5"/>
  <c r="A15" i="5"/>
  <c r="M14" i="5"/>
  <c r="M13" i="5"/>
  <c r="G13" i="5"/>
  <c r="E13" i="5"/>
  <c r="C13" i="5"/>
  <c r="A13" i="5"/>
  <c r="M12" i="5"/>
  <c r="M11" i="5"/>
  <c r="G11" i="5"/>
  <c r="E11" i="5"/>
  <c r="C11" i="5"/>
  <c r="A11" i="5"/>
  <c r="M10" i="5"/>
  <c r="G8" i="5"/>
  <c r="E8" i="5"/>
  <c r="C8" i="5"/>
  <c r="A8" i="5"/>
  <c r="M6" i="5"/>
  <c r="M5" i="5"/>
  <c r="M4" i="5"/>
  <c r="E12" i="2"/>
  <c r="B12" i="2"/>
  <c r="F10" i="2"/>
  <c r="E10" i="2"/>
  <c r="N10" i="2" s="1"/>
  <c r="D10" i="2"/>
  <c r="C10" i="2"/>
  <c r="B10" i="2"/>
  <c r="F9" i="2"/>
  <c r="E9" i="2"/>
  <c r="N9" i="2" s="1"/>
  <c r="D9" i="2"/>
  <c r="C9" i="2"/>
  <c r="B9" i="2"/>
  <c r="B14" i="2" l="1"/>
  <c r="A16" i="2"/>
  <c r="L14" i="2"/>
  <c r="L13" i="2"/>
  <c r="E14" i="2"/>
  <c r="E13" i="2"/>
  <c r="D13" i="2"/>
  <c r="C13" i="2"/>
</calcChain>
</file>

<file path=xl/sharedStrings.xml><?xml version="1.0" encoding="utf-8"?>
<sst xmlns="http://schemas.openxmlformats.org/spreadsheetml/2006/main" count="7282" uniqueCount="1014">
  <si>
    <t>Índice O'Higgins</t>
  </si>
  <si>
    <t>Hoja</t>
  </si>
  <si>
    <t>Qué contiene</t>
  </si>
  <si>
    <t>Ir a</t>
  </si>
  <si>
    <t>Portada</t>
  </si>
  <si>
    <t>Presentación, contenido y notas de uso</t>
  </si>
  <si>
    <t>O'Higgins · Panel</t>
  </si>
  <si>
    <t>Panel de exploración de la Región de O'Higgins</t>
  </si>
  <si>
    <t>abrir →</t>
  </si>
  <si>
    <t>O'Higgins</t>
  </si>
  <si>
    <t>Base de datos de la Región de O'Higgins</t>
  </si>
  <si>
    <t>Comparador</t>
  </si>
  <si>
    <t>Compara cualquier indicador entre las 16 regiones y el total nacional</t>
  </si>
  <si>
    <t>Nacional · Panel</t>
  </si>
  <si>
    <t>Panel de exploración del total nacional</t>
  </si>
  <si>
    <t>Nacional</t>
  </si>
  <si>
    <t>Base de datos del total nacional</t>
  </si>
  <si>
    <t>Base Nacional y Regiones</t>
  </si>
  <si>
    <t>Base completa</t>
  </si>
  <si>
    <t>PRESENTA LA REGIÓN</t>
  </si>
  <si>
    <t>Esto es O'Higgins</t>
  </si>
  <si>
    <t>Chile no cabe en una ciudad.</t>
  </si>
  <si>
    <t>Ver base de datos completa →</t>
  </si>
  <si>
    <t>Panel de exploración · 429 variables · fuente indicada por variable en la hoja de datos</t>
  </si>
  <si>
    <t>LA REGIÓN EN UNA FICHA</t>
  </si>
  <si>
    <t>Capital</t>
  </si>
  <si>
    <t>Gobernador(a) Regional</t>
  </si>
  <si>
    <t>Delegado(a) Presidencial</t>
  </si>
  <si>
    <t>% votación Kast 2ª vuelta</t>
  </si>
  <si>
    <t>INDICADORES CLAVE · región y país</t>
  </si>
  <si>
    <t>Población total</t>
  </si>
  <si>
    <t>Tasa global de fecundidad (2025)</t>
  </si>
  <si>
    <t>Población urbana</t>
  </si>
  <si>
    <t>Población 65 años y más</t>
  </si>
  <si>
    <t>Desocupación (jun-2026)</t>
  </si>
  <si>
    <t>Ocupación informal (jun-2026)</t>
  </si>
  <si>
    <t>Pobreza por ingresos (2024)</t>
  </si>
  <si>
    <t>Ingreso mediano (miles $)</t>
  </si>
  <si>
    <t>PIB per cápita 2025 (USD)</t>
  </si>
  <si>
    <t>Tasa de homicidios (2025)</t>
  </si>
  <si>
    <t>Años de escolaridad</t>
  </si>
  <si>
    <t>IDH (2023)</t>
  </si>
  <si>
    <t>Lista de espera (por 10.000 hab.)</t>
  </si>
  <si>
    <t>Percepción de aumento de la delincuencia (2025)</t>
  </si>
  <si>
    <t>PAES Matemática 1 (2026)</t>
  </si>
  <si>
    <t>Familias en campamentos (2024-2025)</t>
  </si>
  <si>
    <t>ÍNDICE DE TEMAS · haz clic en el tema para ir a la hoja de datos</t>
  </si>
  <si>
    <t>Tema</t>
  </si>
  <si>
    <t>Variables</t>
  </si>
  <si>
    <t>Administración</t>
  </si>
  <si>
    <t>Empleo</t>
  </si>
  <si>
    <t>Demográfico</t>
  </si>
  <si>
    <t>Medio Ambiente</t>
  </si>
  <si>
    <t>Economía</t>
  </si>
  <si>
    <t>Vivienda</t>
  </si>
  <si>
    <t>Votaciones</t>
  </si>
  <si>
    <t>Servicios</t>
  </si>
  <si>
    <t>Seguridad</t>
  </si>
  <si>
    <t>Hogares</t>
  </si>
  <si>
    <t>Social</t>
  </si>
  <si>
    <t>Cultural, audiovisual, medios</t>
  </si>
  <si>
    <t>Geografía</t>
  </si>
  <si>
    <t>Vehículos</t>
  </si>
  <si>
    <t>Educación</t>
  </si>
  <si>
    <t>Inversión</t>
  </si>
  <si>
    <t>Salud</t>
  </si>
  <si>
    <t>Pesca</t>
  </si>
  <si>
    <t>Datos de apoyo para los gráficos · no editar</t>
  </si>
  <si>
    <t>Grupo etario</t>
  </si>
  <si>
    <t>País</t>
  </si>
  <si>
    <t>0 a 14 años</t>
  </si>
  <si>
    <t>15 a 64 años</t>
  </si>
  <si>
    <t>65 años y más</t>
  </si>
  <si>
    <t>Año</t>
  </si>
  <si>
    <t>Sector</t>
  </si>
  <si>
    <t>% del PIB regional</t>
  </si>
  <si>
    <t>Agropecuario-silvícola</t>
  </si>
  <si>
    <t>Minería</t>
  </si>
  <si>
    <t>Industria manufacturera</t>
  </si>
  <si>
    <t>Electricidad, gas, agua y gestión de desechos</t>
  </si>
  <si>
    <t>Construcción</t>
  </si>
  <si>
    <t>Comercio</t>
  </si>
  <si>
    <t>Restaurantes y hoteles</t>
  </si>
  <si>
    <t>Transporte, información y comunicaciones</t>
  </si>
  <si>
    <t>Servicios financieros y empresariales</t>
  </si>
  <si>
    <t>Servicios de vivienda e inmobiliarios</t>
  </si>
  <si>
    <t>Servicios personales</t>
  </si>
  <si>
    <t>Administración pública</t>
  </si>
  <si>
    <t>Indicador</t>
  </si>
  <si>
    <t>Desocupación</t>
  </si>
  <si>
    <t>Informalidad</t>
  </si>
  <si>
    <t>Pobreza ingresos</t>
  </si>
  <si>
    <t>Pobreza multidim.</t>
  </si>
  <si>
    <t>Hacinamiento</t>
  </si>
  <si>
    <t>Acceso a internet</t>
  </si>
  <si>
    <t>Esto es Chile · Región de O'Higgins</t>
  </si>
  <si>
    <t>Base de datos regional · Fuentes indicadas por variable</t>
  </si>
  <si>
    <t>Subtema</t>
  </si>
  <si>
    <t>Nombre variable</t>
  </si>
  <si>
    <t>Unidad</t>
  </si>
  <si>
    <t>Total nacional</t>
  </si>
  <si>
    <t>Fuente</t>
  </si>
  <si>
    <t/>
  </si>
  <si>
    <t>Capital regional</t>
  </si>
  <si>
    <t>Texto</t>
  </si>
  <si>
    <t>Rancagua</t>
  </si>
  <si>
    <t>Delegado(a) Presidencial Regional</t>
  </si>
  <si>
    <t>Susana Pinto</t>
  </si>
  <si>
    <t>Pablo Silva Amaya (PS)</t>
  </si>
  <si>
    <t>Población</t>
  </si>
  <si>
    <t>Personas</t>
  </si>
  <si>
    <t>INE estimación Censo 2017</t>
  </si>
  <si>
    <t>Población: % del total nacional</t>
  </si>
  <si>
    <t>%</t>
  </si>
  <si>
    <t>Población: hombres</t>
  </si>
  <si>
    <t>Población: mujeres</t>
  </si>
  <si>
    <t>Población urbana (% del total regional)</t>
  </si>
  <si>
    <t>Ine estimación Censo 2017</t>
  </si>
  <si>
    <t>Población rural (% del total regional)</t>
  </si>
  <si>
    <t>Densidad poblacional</t>
  </si>
  <si>
    <t>Densidad poblacional (2024)</t>
  </si>
  <si>
    <t>hab/km²</t>
  </si>
  <si>
    <t>Ine</t>
  </si>
  <si>
    <t>Densidad poblacional (2017)</t>
  </si>
  <si>
    <t>Densidad poblacional (2002)</t>
  </si>
  <si>
    <t>Población por grupos etarios</t>
  </si>
  <si>
    <t>Población de 0 a 14 años</t>
  </si>
  <si>
    <t>Población de 15 a 64 años</t>
  </si>
  <si>
    <t>Población de 65 años y más</t>
  </si>
  <si>
    <t>Población de 0 a 14 años (% del total regional)</t>
  </si>
  <si>
    <t>Población de 15 a 64 años (% del total regional)</t>
  </si>
  <si>
    <t>Población de 65 años y más (% del total regional)</t>
  </si>
  <si>
    <t>Esperanza de vida</t>
  </si>
  <si>
    <t>Esperanza de vida al nacer: hombres (2025)</t>
  </si>
  <si>
    <t>Años</t>
  </si>
  <si>
    <t>Banco Central</t>
  </si>
  <si>
    <t>Esperanza de vida al nacer: mujeres (2025)</t>
  </si>
  <si>
    <t>Esperanza de vida al nacer: hombres (2002)</t>
  </si>
  <si>
    <t>Esperanza de vida al nacer: mujeres (2002)</t>
  </si>
  <si>
    <t>Inmigrantes</t>
  </si>
  <si>
    <t>Inmigrantes (% de la población regional, 1992)</t>
  </si>
  <si>
    <t>Censo 2024</t>
  </si>
  <si>
    <t>Inmigrantes (% de la población regional, 2002)</t>
  </si>
  <si>
    <t>Inmigrantes (% de la población regional, 2017)</t>
  </si>
  <si>
    <t>Inmigrantes (% de la población regional, 2024)</t>
  </si>
  <si>
    <t>Principal país de procedencia de los inmigrantes (2024)</t>
  </si>
  <si>
    <t>Venezuela</t>
  </si>
  <si>
    <t>Inmigrantes (estimación SERMIG)</t>
  </si>
  <si>
    <t>Inmigrantes estimados: total (regulares + irregulares)</t>
  </si>
  <si>
    <t>Estimación SERMIG 2023</t>
  </si>
  <si>
    <t>Inmigrantes estimados: % de la población regional</t>
  </si>
  <si>
    <t>Inmigrantes estimados: en situación irregular</t>
  </si>
  <si>
    <t>Inmigrantes estimados: en situación regular</t>
  </si>
  <si>
    <t>Inmigrantes irregulares: % del total nacional</t>
  </si>
  <si>
    <t>Inmigrantes regulares: % del total nacional</t>
  </si>
  <si>
    <t>Pueblos originarios</t>
  </si>
  <si>
    <t>Población perteneciente a pueblos originarios</t>
  </si>
  <si>
    <t>Población perteneciente a pueblos originarios (% de la región)</t>
  </si>
  <si>
    <t>Grupos específicos</t>
  </si>
  <si>
    <t>Personas con discapacidad (% de la población regional)</t>
  </si>
  <si>
    <t>Personas en situación de calle (% de la población regional)</t>
  </si>
  <si>
    <t>Población transgénero (% de la población regional)</t>
  </si>
  <si>
    <t>Nacimientos</t>
  </si>
  <si>
    <t>Nacimientos (2025)</t>
  </si>
  <si>
    <t>INE</t>
  </si>
  <si>
    <t>Nacimientos: % del total nacional (2025)</t>
  </si>
  <si>
    <t>Nacimientos de madre chilena (2025)</t>
  </si>
  <si>
    <t>Nacimientos de madre chilena: % del total regional (2025)</t>
  </si>
  <si>
    <t>Nacimientos de madre extranjera (2025)</t>
  </si>
  <si>
    <t>Nacimientos de madre extranjera: % del total regional (2025)</t>
  </si>
  <si>
    <t>Nacimientos (2024)</t>
  </si>
  <si>
    <t>Nacimientos (2023)</t>
  </si>
  <si>
    <t>Nacimientos (2022)</t>
  </si>
  <si>
    <t>Nacimientos (2021)</t>
  </si>
  <si>
    <t>Nacimientos (2020)</t>
  </si>
  <si>
    <t>Defunciones</t>
  </si>
  <si>
    <t>Defunciones (2025)</t>
  </si>
  <si>
    <t>Defunciones: % del total nacional (2025)</t>
  </si>
  <si>
    <t>Crecimiento natural</t>
  </si>
  <si>
    <t>Nacimientos menos defunciones (2025)</t>
  </si>
  <si>
    <t>Defunciones (2024)</t>
  </si>
  <si>
    <t>Defunciones (2023)</t>
  </si>
  <si>
    <t>Defunciones (2022)</t>
  </si>
  <si>
    <t>Defunciones (2021)</t>
  </si>
  <si>
    <t>Defunciones (2020)</t>
  </si>
  <si>
    <t>Matrimonios y AUC</t>
  </si>
  <si>
    <t>Matrimonios (2025)</t>
  </si>
  <si>
    <t>Matrimonios</t>
  </si>
  <si>
    <t>Acuerdos de Unión Civil, AUC (2025)</t>
  </si>
  <si>
    <t>AUC</t>
  </si>
  <si>
    <t>Matrimonios + AUC (2025)</t>
  </si>
  <si>
    <t>Uniones</t>
  </si>
  <si>
    <t>Matrimonios + AUC: % del total nacional (2025)</t>
  </si>
  <si>
    <t>Matrimonios (2024)</t>
  </si>
  <si>
    <t>Matrimonios (2023)</t>
  </si>
  <si>
    <t>Matrimonios (2022)</t>
  </si>
  <si>
    <t>Matrimonios (2021)</t>
  </si>
  <si>
    <t>Matrimonios (2020)</t>
  </si>
  <si>
    <t>Acuerdos de Unión Civil, AUC (2024)</t>
  </si>
  <si>
    <t>Acuerdos de Unión Civil, AUC (2023)</t>
  </si>
  <si>
    <t>Acuerdos de Unión Civil, AUC (2022)</t>
  </si>
  <si>
    <t>Acuerdos de Unión Civil, AUC (2021)</t>
  </si>
  <si>
    <t>Acuerdos de Unión Civil, AUC (2020)</t>
  </si>
  <si>
    <t>Natalidad y fecundidad</t>
  </si>
  <si>
    <t>Tasa bruta de natalidad (2025)</t>
  </si>
  <si>
    <t>Nacimientos por 1.000 hab.</t>
  </si>
  <si>
    <t>Hijos por mujer</t>
  </si>
  <si>
    <t>Tasa bruta de natalidad (2024)</t>
  </si>
  <si>
    <t>Tasa bruta de natalidad (2023)</t>
  </si>
  <si>
    <t>Tasa bruta de natalidad (2022)</t>
  </si>
  <si>
    <t>Tasa bruta de natalidad (2021)</t>
  </si>
  <si>
    <t>Tasa bruta de natalidad (2021) — etiqueta duplicada en el original, revisar</t>
  </si>
  <si>
    <t>Tasa global de fecundidad (2024)</t>
  </si>
  <si>
    <t>Tasa global de fecundidad (2023)</t>
  </si>
  <si>
    <t>Tasa global de fecundidad (2022)</t>
  </si>
  <si>
    <t>Tasa global de fecundidad (2021)</t>
  </si>
  <si>
    <t>Envejecimiento</t>
  </si>
  <si>
    <t>Índice de envejecimiento</t>
  </si>
  <si>
    <t>Adultos de 65+ por 100 menores de 15</t>
  </si>
  <si>
    <t>PIB por actividad económica</t>
  </si>
  <si>
    <t>PIB total (2025)</t>
  </si>
  <si>
    <t>Miles de millones de $ encadenados</t>
  </si>
  <si>
    <t>BC</t>
  </si>
  <si>
    <t>PIB Agropecuario-silvícola (2025)</t>
  </si>
  <si>
    <t>PIB Pesca (2025)</t>
  </si>
  <si>
    <t>PIB Minería (2025)</t>
  </si>
  <si>
    <t>PIB Industria manufacturera (2025)</t>
  </si>
  <si>
    <t>PIB Electricidad, gas, agua y gestión de desechos (2025)</t>
  </si>
  <si>
    <t>PIB Construcción (2025)</t>
  </si>
  <si>
    <t>PIB Comercio (2025)</t>
  </si>
  <si>
    <t>PIB Restaurantes y hoteles (2025)</t>
  </si>
  <si>
    <t>PIB Transporte, información y comunicaciones (2025)</t>
  </si>
  <si>
    <t>PIB Servicios financieros y empresariales (2025)</t>
  </si>
  <si>
    <t>PIB Servicios de vivienda e inmobiliarios (2025)</t>
  </si>
  <si>
    <t>PIB Servicios personales (2025)</t>
  </si>
  <si>
    <t>PIB Administración pública (2025)</t>
  </si>
  <si>
    <t>PIB por actividad económica (% del total regional)</t>
  </si>
  <si>
    <t>PIB Agropecuario-silvícola: % del total regional (2025)</t>
  </si>
  <si>
    <t>PIB Pesca: % del total regional (2025)</t>
  </si>
  <si>
    <t>PIB Minería: % del total regional (2025)</t>
  </si>
  <si>
    <t>PIB Industria manufacturera: % del total regional (2025)</t>
  </si>
  <si>
    <t>PIB Electricidad, gas, agua y gestión de desechos: % del total regional (2025)</t>
  </si>
  <si>
    <t>PIB Construcción: % del total regional (2025)</t>
  </si>
  <si>
    <t>PIB Comercio: % del total regional (2025)</t>
  </si>
  <si>
    <t>PIB Restaurantes y hoteles: % del total regional (2025)</t>
  </si>
  <si>
    <t>PIB Transporte, información y comunicaciones: % del total regional (2025)</t>
  </si>
  <si>
    <t>PIB Servicios financieros y empresariales: % del total regional (2025)</t>
  </si>
  <si>
    <t>PIB Servicios de vivienda e inmobiliarios: % del total regional (2025)</t>
  </si>
  <si>
    <t>PIB Servicios personales: % del total regional (2025)</t>
  </si>
  <si>
    <t>PIB Administración pública: % del total regional (2025)</t>
  </si>
  <si>
    <t>Cuentas nacionales</t>
  </si>
  <si>
    <t>PIB per cápita (2025)</t>
  </si>
  <si>
    <t>USD</t>
  </si>
  <si>
    <t>Consumo per cápita (2025)</t>
  </si>
  <si>
    <t>PIB per cápita (2024)</t>
  </si>
  <si>
    <t>Consumo per cápita (2024)</t>
  </si>
  <si>
    <t>Pobreza</t>
  </si>
  <si>
    <t>CASEN 2024</t>
  </si>
  <si>
    <t>Pobreza multidimensional (2024)</t>
  </si>
  <si>
    <t>Pobreza severa (2024)</t>
  </si>
  <si>
    <t>Pobreza severa (2022)</t>
  </si>
  <si>
    <t>Ingresos</t>
  </si>
  <si>
    <t>Ingreso medio mensual</t>
  </si>
  <si>
    <t>Miles de $</t>
  </si>
  <si>
    <t>ESI 2025</t>
  </si>
  <si>
    <t>Ingreso mediano mensual</t>
  </si>
  <si>
    <t>Grupos socioeconómicos (GSE)</t>
  </si>
  <si>
    <t>Población en GSE AB</t>
  </si>
  <si>
    <t>% (0-100)</t>
  </si>
  <si>
    <t>AIM 2023</t>
  </si>
  <si>
    <t>Población en GSE C1a</t>
  </si>
  <si>
    <t>Población en GSE C1b</t>
  </si>
  <si>
    <t>Población en GSE C2</t>
  </si>
  <si>
    <t>Población en GSE C3</t>
  </si>
  <si>
    <t>Población en GSE D</t>
  </si>
  <si>
    <t>Población en GSE E</t>
  </si>
  <si>
    <t>Exportaciones</t>
  </si>
  <si>
    <t>Principal sector exportador (2025)</t>
  </si>
  <si>
    <t>Agropecuario</t>
  </si>
  <si>
    <t>Subrei</t>
  </si>
  <si>
    <t>Participación del principal sector en las exportaciones regionales (2025)</t>
  </si>
  <si>
    <t>Inversión Extranjera Directa (IED)</t>
  </si>
  <si>
    <t>Agrupación territorial considerada</t>
  </si>
  <si>
    <t>Región de O’Higgins</t>
  </si>
  <si>
    <t>Total Nacional</t>
  </si>
  <si>
    <t>USD millones</t>
  </si>
  <si>
    <t>IED: % del total nacional</t>
  </si>
  <si>
    <t>Elección presidencial 2025 (2ª vuelta)</t>
  </si>
  <si>
    <t>2ª vuelta 2025: Kast</t>
  </si>
  <si>
    <t>Servel</t>
  </si>
  <si>
    <t>2ª vuelta 2025: Jara</t>
  </si>
  <si>
    <t>Elección presidencial 2025 (1ª vuelta)</t>
  </si>
  <si>
    <t>1ª vuelta 2025: Parisi</t>
  </si>
  <si>
    <t>1ª vuelta 2025: Jara</t>
  </si>
  <si>
    <t>1ª vuelta 2025: MEO</t>
  </si>
  <si>
    <t>1ª vuelta 2025: Kaiser</t>
  </si>
  <si>
    <t>1ª vuelta 2025: Kast</t>
  </si>
  <si>
    <t>1ª vuelta 2025: Artes</t>
  </si>
  <si>
    <t>1ª vuelta 2025: Matthei</t>
  </si>
  <si>
    <t>1ª vuelta 2025: Mayne-Nicholls</t>
  </si>
  <si>
    <t>Plebiscito constitucional 2023</t>
  </si>
  <si>
    <t>Plebiscito 2023: A favor</t>
  </si>
  <si>
    <t>Plebiscito 2023: En contra</t>
  </si>
  <si>
    <t>Plebiscito constitucional 2022</t>
  </si>
  <si>
    <t>Plebiscito 2022: Apruebo</t>
  </si>
  <si>
    <t>Plebiscito 2022: Rechazo</t>
  </si>
  <si>
    <t>Elección presidencial 2021 (2ª vuelta)</t>
  </si>
  <si>
    <t>2ª vuelta 2021: Boric</t>
  </si>
  <si>
    <t>2ª vuelta 2021: Kast</t>
  </si>
  <si>
    <t>Homicidios</t>
  </si>
  <si>
    <t>Casos por 100.000 hab.</t>
  </si>
  <si>
    <t>Fiscalía</t>
  </si>
  <si>
    <t>Tasa de homicidios (2024)</t>
  </si>
  <si>
    <t>Tasa de homicidios (2023)</t>
  </si>
  <si>
    <t>Tasa de homicidios (2022)</t>
  </si>
  <si>
    <t>Tasa de homicidios (2021)</t>
  </si>
  <si>
    <t>Tasa de homicidios (2020)</t>
  </si>
  <si>
    <t>Tasa de homicidios (2019)</t>
  </si>
  <si>
    <t>Tasa de homicidios (2018)</t>
  </si>
  <si>
    <t>Secuestros</t>
  </si>
  <si>
    <t>Secuestros acumulados 2014-2024</t>
  </si>
  <si>
    <t>2014-2024</t>
  </si>
  <si>
    <t>Casos</t>
  </si>
  <si>
    <t>Femicidios</t>
  </si>
  <si>
    <t>Tasa de femicidios consumados (2021)</t>
  </si>
  <si>
    <t>Casos por 100.000 mujeres</t>
  </si>
  <si>
    <t>Tasa de femicidios consumados (2022)</t>
  </si>
  <si>
    <t>Tasa de femicidios consumados (2023)</t>
  </si>
  <si>
    <t>Tasa de femicidios consumados (2024)</t>
  </si>
  <si>
    <t>Violencia contra las mujeres</t>
  </si>
  <si>
    <t>Prevalencia anual de violencia contra las mujeres (2024)</t>
  </si>
  <si>
    <t>% de mujeres de 15 a 65 años</t>
  </si>
  <si>
    <t>Prevalencia anual de violencia contra las mujeres (2020)</t>
  </si>
  <si>
    <t>Víctimas de femicidios consumados (2021)</t>
  </si>
  <si>
    <t>Víctimas</t>
  </si>
  <si>
    <t>Víctimas de femicidios consumados (2022)</t>
  </si>
  <si>
    <t>Víctimas de femicidios consumados (2023)</t>
  </si>
  <si>
    <t>Víctimas de femicidios consumados (2024)</t>
  </si>
  <si>
    <t>Víctimas de femicidios consumados (2025)</t>
  </si>
  <si>
    <t>Población penal</t>
  </si>
  <si>
    <t>Población penal, sistema cerrado (julio 2026)</t>
  </si>
  <si>
    <t>Gendarmería</t>
  </si>
  <si>
    <t>Población penal: hombres (julio 2026)</t>
  </si>
  <si>
    <t>Población penal: mujeres (julio 2026)</t>
  </si>
  <si>
    <t>Victimización (ENUSC)</t>
  </si>
  <si>
    <t>Victimización de hogares por delitos violentos (2025)</t>
  </si>
  <si>
    <t>% de hogares</t>
  </si>
  <si>
    <t>Enusc 2025</t>
  </si>
  <si>
    <t>Victimización de hogares por delitos violentos (2024)</t>
  </si>
  <si>
    <t>Victimización de hogares por delitos violentos (2023)</t>
  </si>
  <si>
    <t>ENUSC 2023</t>
  </si>
  <si>
    <t>Victimización de personas por delitos violentos (2025)</t>
  </si>
  <si>
    <t>% de personas</t>
  </si>
  <si>
    <t>Victimización de personas por delitos violentos (2024)</t>
  </si>
  <si>
    <t>Victimización de personas por delitos violentos (2023)</t>
  </si>
  <si>
    <t>Percepción de delincuencia (ENUSC)</t>
  </si>
  <si>
    <t>Percepción de aumento de la delincuencia en el país (2025)</t>
  </si>
  <si>
    <t>Percepción de aumento de la delincuencia en el país (2024)</t>
  </si>
  <si>
    <t>Percepción de aumento de la delincuencia en el país (2023)</t>
  </si>
  <si>
    <t>Percepción de aumento de la delincuencia en el barrio (2025)</t>
  </si>
  <si>
    <t>Percepción de aumento de la delincuencia en el barrio (2024)</t>
  </si>
  <si>
    <t>Percepción de aumento de la delincuencia en el barrio (2023)</t>
  </si>
  <si>
    <t>Desarrollo humano</t>
  </si>
  <si>
    <t>Índice de Desarrollo Humano, IDH (2023)</t>
  </si>
  <si>
    <t>Índice (0-1)</t>
  </si>
  <si>
    <t>PNUD</t>
  </si>
  <si>
    <t>Índice de Desarrollo Humano, IDH (2022)</t>
  </si>
  <si>
    <t>Índice de Desarrollo Humano, IDH (2021)</t>
  </si>
  <si>
    <t>Desigualdad</t>
  </si>
  <si>
    <t>Coeficiente de Gini</t>
  </si>
  <si>
    <t>PNUD 2017</t>
  </si>
  <si>
    <t>Déficit de viviendas</t>
  </si>
  <si>
    <t>Déficit de viviendas (2024)</t>
  </si>
  <si>
    <t>Viviendas</t>
  </si>
  <si>
    <t>Déficit de viviendas (2022)</t>
  </si>
  <si>
    <t>Casen 2022</t>
  </si>
  <si>
    <t>Campamentos</t>
  </si>
  <si>
    <t>Campamentos (2024)</t>
  </si>
  <si>
    <t>N° de campamentos</t>
  </si>
  <si>
    <t>Minvu</t>
  </si>
  <si>
    <t>Campamentos (2024): % del total nacional</t>
  </si>
  <si>
    <t>Campamentos (2022)</t>
  </si>
  <si>
    <t>2024-2025</t>
  </si>
  <si>
    <t>Familias</t>
  </si>
  <si>
    <t>Techo</t>
  </si>
  <si>
    <t>Familias en campamentos (2024-2025): % del total nacional</t>
  </si>
  <si>
    <t>Familias en campamentos (2022-2023)</t>
  </si>
  <si>
    <t>2022-2023</t>
  </si>
  <si>
    <t>Familias migrantes en campamentos (% del total, 2024-2025)</t>
  </si>
  <si>
    <t>Confianza interpersonal e institucional</t>
  </si>
  <si>
    <t>Confía poco o nada en otras personas (2023)</t>
  </si>
  <si>
    <t>EBS 2023</t>
  </si>
  <si>
    <t>Confía poco o nada en el gobierno (2023)</t>
  </si>
  <si>
    <t>Confía poco o nada en el congreso (2023)</t>
  </si>
  <si>
    <t>Confía poco o nada en Carabineros (2023)</t>
  </si>
  <si>
    <t>Confía poco o nada en municipalidades (2023)</t>
  </si>
  <si>
    <t>Confía algo, bastante o mucho en Carabineros (2023)</t>
  </si>
  <si>
    <t>Confía algo, bastante o mucho en Bomberos (2023)</t>
  </si>
  <si>
    <t>Superficie por uso de suelo</t>
  </si>
  <si>
    <t>Superficie: Áreas urbanas e industriales (% del territorio regional)</t>
  </si>
  <si>
    <t>Superficie: Terrenos agrícolas (% del territorio regional)</t>
  </si>
  <si>
    <t>Superficie: Praderas y matorrales (% del territorio regional)</t>
  </si>
  <si>
    <t>Superficie: Bosques (% del territorio regional)</t>
  </si>
  <si>
    <t>Superficie: Humedales (% del territorio regional)</t>
  </si>
  <si>
    <t>Superficie: Áreas desprovistas de vegetación (% del territorio regional)</t>
  </si>
  <si>
    <t>Superficie: Nieves y glaciares (% del territorio regional)</t>
  </si>
  <si>
    <t>Superficie: Cuerpos de agua (% del territorio regional)</t>
  </si>
  <si>
    <t>Resultados PAES</t>
  </si>
  <si>
    <t>PAES Comprensión Lectora: promedio regional (2026)</t>
  </si>
  <si>
    <t>Puntaje</t>
  </si>
  <si>
    <t>SUBSE educación</t>
  </si>
  <si>
    <t>PAES Matemática 1: promedio regional (2026)</t>
  </si>
  <si>
    <t>PAES Comprensión Lectora: promedio regional (2025)</t>
  </si>
  <si>
    <t>PAES Matemática 1: promedio regional (2025)</t>
  </si>
  <si>
    <t>Resultados Simce</t>
  </si>
  <si>
    <t>Simce Matemática 4° básico (2024)</t>
  </si>
  <si>
    <t>Agencia educacional</t>
  </si>
  <si>
    <t>Simce Lectura 4° básico (2024)</t>
  </si>
  <si>
    <t>Simce Matemática 6° básico (2024)</t>
  </si>
  <si>
    <t>Simce Lectura 6° básico (2024)</t>
  </si>
  <si>
    <t>Simce Matemática II° medio (2024)</t>
  </si>
  <si>
    <t>Simce Lectura II° medio (2024)</t>
  </si>
  <si>
    <t>Escolaridad</t>
  </si>
  <si>
    <t>Años promedio de escolaridad (18 años y más)</t>
  </si>
  <si>
    <t>Asistencia escolar</t>
  </si>
  <si>
    <t>Asistencia escolar (2025)</t>
  </si>
  <si>
    <t>Mineduc CEM</t>
  </si>
  <si>
    <t>Inasistencia grave y crítica (2025)</t>
  </si>
  <si>
    <t>Educación superior</t>
  </si>
  <si>
    <t>Matrículas en educación superior (2025)</t>
  </si>
  <si>
    <t>Subse educ</t>
  </si>
  <si>
    <t>Matrículas en educación superior (2024)</t>
  </si>
  <si>
    <t>Matrículas en educación superior (2023)</t>
  </si>
  <si>
    <t>Matrículas en educación superior (2022)</t>
  </si>
  <si>
    <t>Matrículas en educación superior (2021)</t>
  </si>
  <si>
    <t>Listas de espera</t>
  </si>
  <si>
    <t>Personas en lista de espera: nueva consulta de especialidad (junio 2025)</t>
  </si>
  <si>
    <t>Visualizador</t>
  </si>
  <si>
    <t>Personas en lista de espera: operación (junio 2025)</t>
  </si>
  <si>
    <t>Lista de espera por cada 10.000 hab.: nueva consulta de especialidad (junio 2025)</t>
  </si>
  <si>
    <t>Personas por 10.000 hab.</t>
  </si>
  <si>
    <t>Lista de espera por cada 10.000 hab.: operación (junio 2025)</t>
  </si>
  <si>
    <t>Lista de espera por cada 10.000 hab.: total consulta + operación (junio 2025)</t>
  </si>
  <si>
    <t>Hospitales</t>
  </si>
  <si>
    <t>Hospitales públicos</t>
  </si>
  <si>
    <t>N° de hospitales</t>
  </si>
  <si>
    <t>Hospitales privados</t>
  </si>
  <si>
    <t>Especialidades médicas</t>
  </si>
  <si>
    <t>Especialidades y subespecialidades médicas (N°)</t>
  </si>
  <si>
    <t>N°</t>
  </si>
  <si>
    <t>Super Salud</t>
  </si>
  <si>
    <t>Especialidades y subespecialidades médicas: % del total nacional</t>
  </si>
  <si>
    <t>Especialistas</t>
  </si>
  <si>
    <t>Especialistas por cada 10.000 habitantes</t>
  </si>
  <si>
    <t>Por 10.000 hab.</t>
  </si>
  <si>
    <t>Especialistas más demandados por cada 100.000 hab. (oncólogo, cardiólogo, neurólogo, nefrólogo, endocrinólogo)</t>
  </si>
  <si>
    <t>Por 100.000 hab.</t>
  </si>
  <si>
    <t>Camas hospitalarias</t>
  </si>
  <si>
    <t>Camas hospitalarias totales (2023)</t>
  </si>
  <si>
    <t>Camas</t>
  </si>
  <si>
    <t>Clinicas de Chile</t>
  </si>
  <si>
    <t>Camas hospitalarias por 1.000 habitantes (2023)</t>
  </si>
  <si>
    <t>Camas por 1.000 hab.</t>
  </si>
  <si>
    <t>Camas críticas</t>
  </si>
  <si>
    <t>Camas críticas (2023)</t>
  </si>
  <si>
    <t>Camas críticas por 10.000 habitantes (2023)</t>
  </si>
  <si>
    <t>Camas por 10.000 hab.</t>
  </si>
  <si>
    <t>Tasa de desocupación, ambos sexos (jun-2026)</t>
  </si>
  <si>
    <t>jun-2026</t>
  </si>
  <si>
    <t>Tasa de desocupación, ambos sexos (2025)</t>
  </si>
  <si>
    <t>Tasa de desocupación, ambos sexos (2024)</t>
  </si>
  <si>
    <t>Tasa de desocupación, ambos sexos (2023)</t>
  </si>
  <si>
    <t>Tasa de desocupación, ambos sexos (2022)</t>
  </si>
  <si>
    <t>Tasa de desocupación, ambos sexos (2021)</t>
  </si>
  <si>
    <t>Tasa de desocupación, ambos sexos (2020)</t>
  </si>
  <si>
    <t>Tasa de desocupación, ambos sexos (2019)</t>
  </si>
  <si>
    <t>Tasa de desocupación, ambos sexos (2018)</t>
  </si>
  <si>
    <t>Tasa de desocupación, ambos sexos (2017)</t>
  </si>
  <si>
    <t>Tasa de desocupación, ambos sexos (2016)</t>
  </si>
  <si>
    <t>Tasa de desocupación, ambos sexos (2015)</t>
  </si>
  <si>
    <t>Tasa de desocupación, hombres (jun-2026)</t>
  </si>
  <si>
    <t>Tasa de desocupación, hombres (2025)</t>
  </si>
  <si>
    <t>Tasa de desocupación, hombres (2024)</t>
  </si>
  <si>
    <t>Tasa de desocupación, hombres (2023)</t>
  </si>
  <si>
    <t>Tasa de desocupación, hombres (2022)</t>
  </si>
  <si>
    <t>Tasa de desocupación, hombres (2021)</t>
  </si>
  <si>
    <t>Tasa de desocupación, hombres (2020)</t>
  </si>
  <si>
    <t>Tasa de desocupación, hombres (2019)</t>
  </si>
  <si>
    <t>Tasa de desocupación, hombres (2018)</t>
  </si>
  <si>
    <t>Tasa de desocupación, hombres (2017)</t>
  </si>
  <si>
    <t>Tasa de desocupación, hombres (2016)</t>
  </si>
  <si>
    <t>Tasa de desocupación, hombres (2015)</t>
  </si>
  <si>
    <t>Tasa de desocupación, mujeres (jun-2026)</t>
  </si>
  <si>
    <t>Tasa de desocupación, mujeres (2025)</t>
  </si>
  <si>
    <t>Tasa de desocupación, mujeres (2024)</t>
  </si>
  <si>
    <t>Tasa de desocupación, mujeres (2023)</t>
  </si>
  <si>
    <t>Tasa de desocupación, mujeres (2022)</t>
  </si>
  <si>
    <t>Tasa de desocupación, mujeres (2021)</t>
  </si>
  <si>
    <t>Tasa de desocupación, mujeres (2020)</t>
  </si>
  <si>
    <t>Tasa de desocupación, mujeres (2019)</t>
  </si>
  <si>
    <t>Tasa de desocupación, mujeres (2018)</t>
  </si>
  <si>
    <t>Tasa de desocupación, mujeres (2017)</t>
  </si>
  <si>
    <t>Tasa de desocupación, mujeres (2016)</t>
  </si>
  <si>
    <t>Tasa de desocupación, mujeres (2015)</t>
  </si>
  <si>
    <t>Ocupación informal</t>
  </si>
  <si>
    <t>Tasa de ocupación informal, ambos sexos (jun-2026)</t>
  </si>
  <si>
    <t>Tasa de ocupación informal, ambos sexos (2025)</t>
  </si>
  <si>
    <t>Tasa de ocupación informal, ambos sexos (2024)</t>
  </si>
  <si>
    <t>Tasa de ocupación informal, ambos sexos (2023)</t>
  </si>
  <si>
    <t>Tasa de ocupación informal, ambos sexos (2022)</t>
  </si>
  <si>
    <t>Tasa de ocupación informal, ambos sexos (2021)</t>
  </si>
  <si>
    <t>Tasa de ocupación informal, ambos sexos (2020)</t>
  </si>
  <si>
    <t>Tasa de ocupación informal, ambos sexos (2019)</t>
  </si>
  <si>
    <t>Tasa de ocupación informal, ambos sexos (2018)</t>
  </si>
  <si>
    <t>Tasa de ocupación informal, hombres (jun-2026)</t>
  </si>
  <si>
    <t>Tasa de ocupación informal, hombres (2025)</t>
  </si>
  <si>
    <t>Tasa de ocupación informal, hombres (2024)</t>
  </si>
  <si>
    <t>Tasa de ocupación informal, hombres (2023)</t>
  </si>
  <si>
    <t>Tasa de ocupación informal, hombres (2022)</t>
  </si>
  <si>
    <t>Tasa de ocupación informal, hombres (2021)</t>
  </si>
  <si>
    <t>Tasa de ocupación informal, hombres (2020)</t>
  </si>
  <si>
    <t>Tasa de ocupación informal, hombres (2019)</t>
  </si>
  <si>
    <t>Tasa de ocupación informal, hombres (2018)</t>
  </si>
  <si>
    <t>Tasa de ocupación informal, mujeres (jun-2026)</t>
  </si>
  <si>
    <t>Tasa de ocupación informal, mujeres (2025)</t>
  </si>
  <si>
    <t>Tasa de ocupación informal, mujeres (2024)</t>
  </si>
  <si>
    <t>Tasa de ocupación informal, mujeres (2023)</t>
  </si>
  <si>
    <t>Tasa de ocupación informal, mujeres (2022)</t>
  </si>
  <si>
    <t>Tasa de ocupación informal, mujeres (2021)</t>
  </si>
  <si>
    <t>Tasa de ocupación informal, mujeres (2020)</t>
  </si>
  <si>
    <t>Tasa de ocupación informal, mujeres (2019)</t>
  </si>
  <si>
    <t>Tasa de ocupación informal, mujeres (2018)</t>
  </si>
  <si>
    <t>Ocupados por rama de actividad</t>
  </si>
  <si>
    <t>Ocupados en Agricultura, ganadería, silvicultura y pesca (% del total regional, 2025)</t>
  </si>
  <si>
    <t>Hay una pestaña con esta info para los últimos 10 años</t>
  </si>
  <si>
    <t>Ocupados en Explotación de minas y canteras (% del total regional, 2025)</t>
  </si>
  <si>
    <t>Ocupados en Industrias manufactureras (% del total regional, 2025)</t>
  </si>
  <si>
    <t>Ocupados en Suministro de electricidad, gas, vapor y aire acondicionado (% del total regional, 2025)</t>
  </si>
  <si>
    <t>Ocupados en Suministro de agua (% del total regional, 2025)</t>
  </si>
  <si>
    <t>Ocupados en Construcción (% del total regional, 2025)</t>
  </si>
  <si>
    <t>Ocupados en Comercio al por mayor y al por menor (% del total regional, 2025)</t>
  </si>
  <si>
    <t>Ocupados en Transporte y almacenamiento (% del total regional, 2025)</t>
  </si>
  <si>
    <t>Ocupados en Actividades de alojamiento y de servicio de comidas (% del total regional, 2025)</t>
  </si>
  <si>
    <t>Ocupados en Información y comunicaciones (% del total regional, 2025)</t>
  </si>
  <si>
    <t>Ocupados en Actividades financieras y de seguros (% del total regional, 2025)</t>
  </si>
  <si>
    <t>Ocupados en Actividades inmobiliarias (% del total regional, 2025)</t>
  </si>
  <si>
    <t>Ocupados en Actividades profesionales, científicas y técnicas (% del total regional, 2025)</t>
  </si>
  <si>
    <t>Ocupados en Actividades de servicios administrativos y de apoyo (% del total regional, 2025)</t>
  </si>
  <si>
    <t>Ocupados en Administración pública y defensa (% del total regional, 2025)</t>
  </si>
  <si>
    <t>Ocupados en Enseñanza (% del total regional, 2025)</t>
  </si>
  <si>
    <t>Ocupados en Actividades de atención de la salud humana y de asistencia social (% del total regional, 2025)</t>
  </si>
  <si>
    <t>Ocupados en Actividades artísticas, de entretenimiento y recreativas (% del total regional, 2025)</t>
  </si>
  <si>
    <t>Ocupados en Otras actividades de servicios (% del total regional, 2025)</t>
  </si>
  <si>
    <t>Ocupados en Actividades de los hogares como empleadores (% del total regional, 2025)</t>
  </si>
  <si>
    <t>Ocupados en Actividades de organizaciones y órganos extraterritoriales (% del total regional, 2025)</t>
  </si>
  <si>
    <t>Ocupados sin información de rama (% del total regional, 2025)</t>
  </si>
  <si>
    <t>Incendios forestales</t>
  </si>
  <si>
    <t>Incendios forestales, temporada 2024/2025</t>
  </si>
  <si>
    <t>2024/2025</t>
  </si>
  <si>
    <t>N° de incendios</t>
  </si>
  <si>
    <t>INE pag 175</t>
  </si>
  <si>
    <t>Incendios forestales, temporada 2023/2024</t>
  </si>
  <si>
    <t>2023/2024</t>
  </si>
  <si>
    <t>Incendios forestales, temporada 2022/2023</t>
  </si>
  <si>
    <t>2022/2023</t>
  </si>
  <si>
    <t>Incendios forestales, temporada 2021/2022</t>
  </si>
  <si>
    <t>2021/2022</t>
  </si>
  <si>
    <t>Incendios forestales, temporada 2020/2021</t>
  </si>
  <si>
    <t>2020/2021</t>
  </si>
  <si>
    <t>Superficie afectada por incendios forestales, temporada 2024/2025 (plantaciones + vegetación natural)</t>
  </si>
  <si>
    <t>Hectáreas</t>
  </si>
  <si>
    <t>INE pag 177</t>
  </si>
  <si>
    <t>Superficie afectada por incendios forestales, temporada 2023/2024 (plantaciones + vegetación natural)</t>
  </si>
  <si>
    <t>Superficie afectada por incendios forestales, temporada 2022/2023 (plantaciones + vegetación natural)</t>
  </si>
  <si>
    <t>Superficie afectada por incendios forestales, temporada 2021/2022 (plantaciones + vegetación natural)</t>
  </si>
  <si>
    <t>Superficie afectada por incendios forestales, temporada 2020/2021 (plantaciones + vegetación natural)</t>
  </si>
  <si>
    <t>Agua potable</t>
  </si>
  <si>
    <t>Producción de agua potable (2024)</t>
  </si>
  <si>
    <t>Miles de m³</t>
  </si>
  <si>
    <t>INE pag 60</t>
  </si>
  <si>
    <t>Producción de agua potable (2023)</t>
  </si>
  <si>
    <t>Producción de agua potable (2022)</t>
  </si>
  <si>
    <t>Producción de agua potable (2021)</t>
  </si>
  <si>
    <t>Producción de agua potable (2020)</t>
  </si>
  <si>
    <t>Consumo de agua potable (2024)</t>
  </si>
  <si>
    <t>INE pag 62</t>
  </si>
  <si>
    <t>Consumo de agua potable (2023)</t>
  </si>
  <si>
    <t>Consumo de agua potable (2022)</t>
  </si>
  <si>
    <t>Consumo de agua potable (2021)</t>
  </si>
  <si>
    <t>Consumo de agua potable (2020)</t>
  </si>
  <si>
    <t>Precipitaciones</t>
  </si>
  <si>
    <t>Aguas lluvias caídas (2024)</t>
  </si>
  <si>
    <t>mm</t>
  </si>
  <si>
    <t>Aguas lluvias caídas (2023)</t>
  </si>
  <si>
    <t>Aguas lluvias caídas (2022)</t>
  </si>
  <si>
    <t>Aguas lluvias caídas (2021)</t>
  </si>
  <si>
    <t>Aguas lluvias caídas (2020)</t>
  </si>
  <si>
    <t>Promedio de personas por hogar</t>
  </si>
  <si>
    <t>Personas por hogar</t>
  </si>
  <si>
    <t>Calidad de la vivienda</t>
  </si>
  <si>
    <t>Viviendas irrecuperables (% del total)</t>
  </si>
  <si>
    <t>Hogares en situación de hacinamiento (%)</t>
  </si>
  <si>
    <t>Tenencia de vivienda</t>
  </si>
  <si>
    <t>Hogares con vivienda propia (%)</t>
  </si>
  <si>
    <t>Acceso al agua</t>
  </si>
  <si>
    <t>Viviendas con acceso a red pública de agua (%)</t>
  </si>
  <si>
    <t>Viviendas con llave de agua dentro de la vivienda (%)</t>
  </si>
  <si>
    <t>Servicio higiénico</t>
  </si>
  <si>
    <t>Viviendas conectadas a alcantarillado o fosa séptica (%)</t>
  </si>
  <si>
    <t>Viviendas sin servicio higiénico (%)</t>
  </si>
  <si>
    <t>Conectividad</t>
  </si>
  <si>
    <t>Hogares con acceso a internet (%)</t>
  </si>
  <si>
    <t>Hogares con niños/as de 0 a 14 años</t>
  </si>
  <si>
    <t>Hogares con personas de 0 a 14 años (% del total, 1992)</t>
  </si>
  <si>
    <t>Hogares con personas de 0 a 14 años (% del total, 2002)</t>
  </si>
  <si>
    <t>Hogares con personas de 0 a 14 años (% del total, 2017)</t>
  </si>
  <si>
    <t>Hogares con personas de 0 a 14 años (% del total, 2024)</t>
  </si>
  <si>
    <t>Hogares de adultos mayores</t>
  </si>
  <si>
    <t>Hogares conformados solo por personas de 65 años y más (% del total, 1992)</t>
  </si>
  <si>
    <t>Hogares conformados solo por personas de 65 años y más (% del total, 2002)</t>
  </si>
  <si>
    <t>Hogares conformados solo por personas de 65 años y más (% del total, 2017)</t>
  </si>
  <si>
    <t>Hogares conformados solo por personas de 65 años y más (% del total, 2024)</t>
  </si>
  <si>
    <t>Hogares unipersonales</t>
  </si>
  <si>
    <t>Hogares unipersonales (% del total, 1992)</t>
  </si>
  <si>
    <t>Hogares unipersonales (% del total, 2002)</t>
  </si>
  <si>
    <t>Hogares unipersonales (% del total, 2017)</t>
  </si>
  <si>
    <t>Hogares unipersonales (% del total, 2024)</t>
  </si>
  <si>
    <t>Religión</t>
  </si>
  <si>
    <t>Personas que declaran tener religión o credo (%)</t>
  </si>
  <si>
    <t>Traslados al trabajo</t>
  </si>
  <si>
    <t>Tiempo promedio de traslado al trabajo: mujeres</t>
  </si>
  <si>
    <t>Minutos</t>
  </si>
  <si>
    <t>ENUT 2023</t>
  </si>
  <si>
    <t>Tiempo promedio de traslado al trabajo: hombres</t>
  </si>
  <si>
    <t>Satisfacción con la vida</t>
  </si>
  <si>
    <t>Satisfacción con la vida: totalmente insatisfecho/insatisfecho (2023)</t>
  </si>
  <si>
    <t>EBS</t>
  </si>
  <si>
    <t>Satisfacción con la vida: satisfecho/totalmente satisfecho (2023)</t>
  </si>
  <si>
    <t>Satisfacción con la vida: indiferente (2023)</t>
  </si>
  <si>
    <t>Cultura</t>
  </si>
  <si>
    <t>Comunas con museos (% de las comunas de la región)</t>
  </si>
  <si>
    <t>Min cultura 2024</t>
  </si>
  <si>
    <t>Personas que participan en alguna actividad cultural (%)</t>
  </si>
  <si>
    <t>Lectura</t>
  </si>
  <si>
    <t>Promedio de libros leídos en los últimos 12 meses</t>
  </si>
  <si>
    <t>Libros</t>
  </si>
  <si>
    <t>Personas que leen con frecuencia diaria o semanal (%)</t>
  </si>
  <si>
    <t>Medios para informarse</t>
  </si>
  <si>
    <t>Recurre a la radio para informarse (%)</t>
  </si>
  <si>
    <t>CNTV 2024</t>
  </si>
  <si>
    <t>Recurre a la TV regional para informarse (%)</t>
  </si>
  <si>
    <t>Canales regionales de TV</t>
  </si>
  <si>
    <t>Ve canales regionales de TV: sí (%)</t>
  </si>
  <si>
    <t>Ve canales regionales de TV: no (%)</t>
  </si>
  <si>
    <t>Satisfacción con canales de TV locales</t>
  </si>
  <si>
    <t>Satisfacción con canales de TV locales: insatisfecho, 1 a 4 (%)</t>
  </si>
  <si>
    <t>Satisfacción con canales de TV locales: neutro, 5 (%)</t>
  </si>
  <si>
    <t>Satisfacción con canales de TV locales: satisfecho, 6 a 7 (%)</t>
  </si>
  <si>
    <t>TV por cable o satélite</t>
  </si>
  <si>
    <t>Hogares con TV por cable o satélite: sí (%)</t>
  </si>
  <si>
    <t>Hogares con TV por cable o satélite: no (%)</t>
  </si>
  <si>
    <t>Smartphone en NNA</t>
  </si>
  <si>
    <t>Edad del primer smartphone</t>
  </si>
  <si>
    <t>NNA con smartphone propio: sí (%)</t>
  </si>
  <si>
    <t>% de NNA</t>
  </si>
  <si>
    <t>NNA con smartphone propio: no (%)</t>
  </si>
  <si>
    <t>Parque vehicular</t>
  </si>
  <si>
    <t>Vehículos en circulación: total (2024)</t>
  </si>
  <si>
    <t>Vehículos bencineros (2024)</t>
  </si>
  <si>
    <t>Vehículos diésel (2024)</t>
  </si>
  <si>
    <t>Vehículos a gas (2024)</t>
  </si>
  <si>
    <t>Vehículos eléctricos/híbridos (2024)</t>
  </si>
  <si>
    <t>Proyectos de inversión (SEA)</t>
  </si>
  <si>
    <t>Proyectos de inversión privada ingresados al SEA (2025)</t>
  </si>
  <si>
    <t>N° de proyectos</t>
  </si>
  <si>
    <t>Existen proyectos interregionales, el total NO es la suma de las regiones</t>
  </si>
  <si>
    <t>Proyectos de inversión privada ingresados al SEA (2024)</t>
  </si>
  <si>
    <t>Proyectos de inversión privada ingresados al SEA (2023)</t>
  </si>
  <si>
    <t>Inversión de proyectos ingresados al SEA (2025)</t>
  </si>
  <si>
    <t>MMUS$</t>
  </si>
  <si>
    <t>Inversión de proyectos ingresados al SEA (2024)</t>
  </si>
  <si>
    <t>Inversión de proyectos ingresados al SEA (2023)</t>
  </si>
  <si>
    <t>Inversión pública (SIN)</t>
  </si>
  <si>
    <t>Inversión pública (2023)</t>
  </si>
  <si>
    <t>SIN</t>
  </si>
  <si>
    <t>Inversión pública (2024)</t>
  </si>
  <si>
    <t>Inversión pública (2025)</t>
  </si>
  <si>
    <t>Inversión pública per cápita (SIN)</t>
  </si>
  <si>
    <t>Inversión pública per cápita (2023)</t>
  </si>
  <si>
    <t>US$ por habitante</t>
  </si>
  <si>
    <t>Inversión pública per cápita (2024)</t>
  </si>
  <si>
    <t>Inversión pública per cápita (2025)</t>
  </si>
  <si>
    <t>Acuicultura</t>
  </si>
  <si>
    <t>Cosecha en centros de acuicultura (2020)</t>
  </si>
  <si>
    <t>Toneladas</t>
  </si>
  <si>
    <t>Cosecha en centros de acuicultura (2021)</t>
  </si>
  <si>
    <t>Cosecha en centros de acuicultura (2022)</t>
  </si>
  <si>
    <t>Cosecha en centros de acuicultura (2023)</t>
  </si>
  <si>
    <t>Cosecha en centros de acuicultura (2024)</t>
  </si>
  <si>
    <t>Pesca artesanal</t>
  </si>
  <si>
    <t>Desembarque artesanal (2020)</t>
  </si>
  <si>
    <t>Desembarque artesanal (2021)</t>
  </si>
  <si>
    <t>Desembarque artesanal (2022)</t>
  </si>
  <si>
    <t>Desembarque artesanal (2023)</t>
  </si>
  <si>
    <t>Desembarque artesanal (2024)</t>
  </si>
  <si>
    <t>Pesca industrial</t>
  </si>
  <si>
    <t>Desembarque industrial (2020)</t>
  </si>
  <si>
    <t>Desembarque industrial (2021)</t>
  </si>
  <si>
    <t>Desembarque industrial (2022)</t>
  </si>
  <si>
    <t>Desembarque industrial (2023)</t>
  </si>
  <si>
    <t>Desembarque industrial (2024)</t>
  </si>
  <si>
    <t>ESTO ES CHILE · COMPARADOR</t>
  </si>
  <si>
    <t>Compara cualquier indicador: O'Higgins vs. total nacional</t>
  </si>
  <si>
    <t>Elige uno o dos indicadores en las listas desplegables. Se muestra O'Higgins frente al total nacional y todo se recalcula solo.</t>
  </si>
  <si>
    <t>Indicador 1</t>
  </si>
  <si>
    <t>Indicador 2</t>
  </si>
  <si>
    <t>Formato</t>
  </si>
  <si>
    <t>0,0%</t>
  </si>
  <si>
    <t>Región</t>
  </si>
  <si>
    <t>Ranking regional</t>
  </si>
  <si>
    <t>Brecha vs. país</t>
  </si>
  <si>
    <t>Indicador 1 (num)</t>
  </si>
  <si>
    <t>Indicador 2 (num)</t>
  </si>
  <si>
    <t>Gráfico 1 (num)</t>
  </si>
  <si>
    <t>Gráfico 2 (num)</t>
  </si>
  <si>
    <t>0,0</t>
  </si>
  <si>
    <t>0,000</t>
  </si>
  <si>
    <t>#.##0</t>
  </si>
  <si>
    <t>$#.##0</t>
  </si>
  <si>
    <t>$#.##0,0</t>
  </si>
  <si>
    <t>#.##0,0</t>
  </si>
  <si>
    <t>0,00</t>
  </si>
  <si>
    <t>@</t>
  </si>
  <si>
    <t>PRESENTA EL PAÍS</t>
  </si>
  <si>
    <t>Esto es Chile</t>
  </si>
  <si>
    <t>EL PAÍS EN UNA FICHA</t>
  </si>
  <si>
    <t>Esperanza de vida hombres</t>
  </si>
  <si>
    <t>INDICADORES CLAVE</t>
  </si>
  <si>
    <t>Inmigrantes (% de la población)</t>
  </si>
  <si>
    <t>Hogares con acceso a internet</t>
  </si>
  <si>
    <t>Esto es Chile · Total nacional</t>
  </si>
  <si>
    <t>Esto es Chile · Base de datos regional</t>
  </si>
  <si>
    <t>Todas las regiones y total nacional</t>
  </si>
  <si>
    <t>Variable (original)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</si>
  <si>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</si>
  <si>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</si>
  <si>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</si>
  <si>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</si>
  <si>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</si>
  <si>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</si>
  <si>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</si>
  <si>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</si>
  <si>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</si>
  <si>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</si>
  <si>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</si>
  <si>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</si>
  <si>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</si>
  <si>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</si>
  <si>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</si>
  <si>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>Arica</t>
  </si>
  <si>
    <t>Iquique</t>
  </si>
  <si>
    <t>Copiapó</t>
  </si>
  <si>
    <t>La Serena</t>
  </si>
  <si>
    <t>Santiago</t>
  </si>
  <si>
    <t>Talca</t>
  </si>
  <si>
    <t>Chillán</t>
  </si>
  <si>
    <t>Concepción</t>
  </si>
  <si>
    <t>Temuco</t>
  </si>
  <si>
    <t>Valdivia</t>
  </si>
  <si>
    <t>Puerto Montt</t>
  </si>
  <si>
    <t>Coyhaique</t>
  </si>
  <si>
    <t>Punta Arenas</t>
  </si>
  <si>
    <t>Delegado Presidencial</t>
  </si>
  <si>
    <t>Cristián Sayes</t>
  </si>
  <si>
    <t>Adriana Tapia</t>
  </si>
  <si>
    <t>Katherine López</t>
  </si>
  <si>
    <t>Sofía Cid</t>
  </si>
  <si>
    <t>Víctor Pino</t>
  </si>
  <si>
    <t>Manuel Millones</t>
  </si>
  <si>
    <t>Germán Codina</t>
  </si>
  <si>
    <t>Juan Eduardo Prieto</t>
  </si>
  <si>
    <t>Diego Sepúlveda</t>
  </si>
  <si>
    <t>Julio Anativia</t>
  </si>
  <si>
    <t>Francisco Ljubetic</t>
  </si>
  <si>
    <t>Vicky Carrasco</t>
  </si>
  <si>
    <t>Cristián Palma</t>
  </si>
  <si>
    <t>Luz María Vicuña</t>
  </si>
  <si>
    <t>Ericka Farías</t>
  </si>
  <si>
    <t>Gobernador</t>
  </si>
  <si>
    <t>Diego Paco Mamani (RN)</t>
  </si>
  <si>
    <t>José Miguel Carvajal Gallardo (IND)</t>
  </si>
  <si>
    <t>Ricardo Díaz Cortés (IND)</t>
  </si>
  <si>
    <t>Miguel Vargas Correa (IND)</t>
  </si>
  <si>
    <t>Cristóbal Juliá de la Vega (IND)</t>
  </si>
  <si>
    <t>Rodrigo Mundaca Cabrera (IND)</t>
  </si>
  <si>
    <t>Claudio Orrego Larraín (IND)</t>
  </si>
  <si>
    <t>Pedro Álvarez-Salamanca Ramírez (UDI)</t>
  </si>
  <si>
    <t>Óscar Crisóstomo Llanos (PS)</t>
  </si>
  <si>
    <t>Sergio Giacaman García (IND)</t>
  </si>
  <si>
    <t>René Saffirio Espinoza (IND)</t>
  </si>
  <si>
    <t>Luis Cuvertino Gómez  (PS)</t>
  </si>
  <si>
    <t>Alejandro Santana Tirachini (RN)</t>
  </si>
  <si>
    <t>Marcelo Santana Vargas (UDI)</t>
  </si>
  <si>
    <t>Jorge Flies Añón (PR)</t>
  </si>
  <si>
    <t>% del total nacional</t>
  </si>
  <si>
    <t>Hombres</t>
  </si>
  <si>
    <t>Mujeres</t>
  </si>
  <si>
    <t>Urbano</t>
  </si>
  <si>
    <t>Rural</t>
  </si>
  <si>
    <t>0-14 años</t>
  </si>
  <si>
    <t>15-64 años</t>
  </si>
  <si>
    <t>65 y más años</t>
  </si>
  <si>
    <t>% 0-14 años</t>
  </si>
  <si>
    <t>% 15-64 años</t>
  </si>
  <si>
    <t>% 65 y más años</t>
  </si>
  <si>
    <t>Hombres (2025)</t>
  </si>
  <si>
    <t>Mujeres (2025)</t>
  </si>
  <si>
    <t>Hombres (2002)</t>
  </si>
  <si>
    <t>Mujeres (2002)</t>
  </si>
  <si>
    <t>Principal país de procedencia de los inmigrantes</t>
  </si>
  <si>
    <t>Bolivia</t>
  </si>
  <si>
    <t>Argentina</t>
  </si>
  <si>
    <t>Total de inmigrantes estimados (regulares + irregulares)</t>
  </si>
  <si>
    <t>% de la población regional</t>
  </si>
  <si>
    <t>Irregulares</t>
  </si>
  <si>
    <t>Regulares</t>
  </si>
  <si>
    <t>% del nacional irregulares</t>
  </si>
  <si>
    <t>% del nacional regulares</t>
  </si>
  <si>
    <t>% de la población de la región</t>
  </si>
  <si>
    <t>Personas con discapacidad</t>
  </si>
  <si>
    <t>Personas en situación de calle</t>
  </si>
  <si>
    <t>Población Transgénero</t>
  </si>
  <si>
    <t>% del nacional</t>
  </si>
  <si>
    <t>nacimientos de madre chilena</t>
  </si>
  <si>
    <t>% del total regional</t>
  </si>
  <si>
    <t>nacimientos de madre extranjera</t>
  </si>
  <si>
    <t>Nacimientos - defunciones (2025)</t>
  </si>
  <si>
    <t>AUC (2025)</t>
  </si>
  <si>
    <t>Matrimonio + AUC</t>
  </si>
  <si>
    <t>AUC (2024)</t>
  </si>
  <si>
    <t>AUC (2023)</t>
  </si>
  <si>
    <t>AUC (2022)</t>
  </si>
  <si>
    <t>AUC (2021)</t>
  </si>
  <si>
    <t>AUC (2020)</t>
  </si>
  <si>
    <t>Tasa bruta de natalidad (Tbn)/ por 1.000 habitantes (2025)</t>
  </si>
  <si>
    <t>Tasa global de fecundidad (TGF) (2025)</t>
  </si>
  <si>
    <t>Tasa bruta de natalidad (Tbn)/ por 1.000 habitantes (2024)</t>
  </si>
  <si>
    <t>Tasa bruta de natalidad (Tbn)/ por 1.000 habitantes (2023)</t>
  </si>
  <si>
    <t>Tasa bruta de natalidad (Tbn)/ por 1.000 habitantes (2022)</t>
  </si>
  <si>
    <t>Tasa bruta de natalidad (Tbn)/ por 1.000 habitantes (2021)</t>
  </si>
  <si>
    <t>Tasa global de fecundidad (TGF) (2024)</t>
  </si>
  <si>
    <t>Tasa global de fecundidad (TGF) (2023)</t>
  </si>
  <si>
    <t>Tasa global de fecundidad (TGF) (2022)</t>
  </si>
  <si>
    <t>Tasa global de fecundidad (TGF) (2021)</t>
  </si>
  <si>
    <t>Indice de envejecimiento</t>
  </si>
  <si>
    <t>PIB por actividad económica (miles de millones de $ encadenado, 2025)</t>
  </si>
  <si>
    <t>PIB per capita (USD) 2025</t>
  </si>
  <si>
    <t>Consumo per cápita (USD) 2025</t>
  </si>
  <si>
    <t>PIB per cápita (USD) 2024</t>
  </si>
  <si>
    <t>Consumo per cápita (USD) 2024</t>
  </si>
  <si>
    <t>Pobreza por ingresos (%)</t>
  </si>
  <si>
    <t>Pobreza multidimensional (%)</t>
  </si>
  <si>
    <t>Pobreza severa 2024</t>
  </si>
  <si>
    <t>Pobreza severa 2022</t>
  </si>
  <si>
    <t>Ingreso medio (miles $)</t>
  </si>
  <si>
    <t>AB</t>
  </si>
  <si>
    <t>C1a</t>
  </si>
  <si>
    <t>C1b</t>
  </si>
  <si>
    <t>C2</t>
  </si>
  <si>
    <t>C3</t>
  </si>
  <si>
    <t>D</t>
  </si>
  <si>
    <t>E</t>
  </si>
  <si>
    <t>Manufactura</t>
  </si>
  <si>
    <t>Forestal</t>
  </si>
  <si>
    <t>Pesca y Acuicultura</t>
  </si>
  <si>
    <t>Participación del sector en las exportaciones totales de la región</t>
  </si>
  <si>
    <t>Región de Arica y Parinacota/Tarapacá</t>
  </si>
  <si>
    <t>Región de Antofagasta</t>
  </si>
  <si>
    <t>Región de Atacama</t>
  </si>
  <si>
    <t>Región de Coquimbo</t>
  </si>
  <si>
    <t>Región de Valparaíso</t>
  </si>
  <si>
    <t>Región Metropolitana</t>
  </si>
  <si>
    <t>Región del Maule</t>
  </si>
  <si>
    <t>Región del Ñuble/Biobío</t>
  </si>
  <si>
    <t>Región de La Araucanía</t>
  </si>
  <si>
    <t>Región de Los Lagos/Los Ríos</t>
  </si>
  <si>
    <t>Región de Aysén/Magallanes</t>
  </si>
  <si>
    <t>Inversión Extranjera Directa (USD millones)</t>
  </si>
  <si>
    <t>Kast</t>
  </si>
  <si>
    <t>Jara</t>
  </si>
  <si>
    <t>Parisi</t>
  </si>
  <si>
    <t>MEO</t>
  </si>
  <si>
    <t>Kaiser</t>
  </si>
  <si>
    <t>Artes</t>
  </si>
  <si>
    <t>Matthei</t>
  </si>
  <si>
    <t>Mayne-Nicholls</t>
  </si>
  <si>
    <t>A favor</t>
  </si>
  <si>
    <t>En contra</t>
  </si>
  <si>
    <t>Apruebo</t>
  </si>
  <si>
    <t>Rechazo</t>
  </si>
  <si>
    <t>Boric</t>
  </si>
  <si>
    <t>Poblacion carcelaria (sistema cerrado julio 2026)</t>
  </si>
  <si>
    <t>Gini</t>
  </si>
  <si>
    <t>Deficit de viviendas 2024</t>
  </si>
  <si>
    <t>Deficit de viviendas 2022</t>
  </si>
  <si>
    <t>% del nacional (familias 2024-2025)</t>
  </si>
  <si>
    <t>Porcentaje de familias que viven en campamentos que son migrantes (2024-2025)</t>
  </si>
  <si>
    <t>Confía poco o nada en otras personas</t>
  </si>
  <si>
    <t>Confía poco o nada en el gobierno</t>
  </si>
  <si>
    <t>Confía poco o nada en el congreso</t>
  </si>
  <si>
    <t>Confía poco o nada en Carabineros</t>
  </si>
  <si>
    <t>Confía poco o nada en municipalidades</t>
  </si>
  <si>
    <t>Confía algo, bastante o mucho en Carabineros</t>
  </si>
  <si>
    <t>Confía algo, bastante o mucho en Bomberos</t>
  </si>
  <si>
    <t>Áreas urbanas e industriales</t>
  </si>
  <si>
    <t>Terrenos agrícolas</t>
  </si>
  <si>
    <t>Praderas y matorrales</t>
  </si>
  <si>
    <t>Bosques</t>
  </si>
  <si>
    <t>Humedales</t>
  </si>
  <si>
    <t>Áreas desprovistas de vegetación</t>
  </si>
  <si>
    <t>Nieves y glaciares</t>
  </si>
  <si>
    <t>Cuerpos de agua</t>
  </si>
  <si>
    <t>2026: Comprensión lectora</t>
  </si>
  <si>
    <t>2026: Matemáticas 1</t>
  </si>
  <si>
    <t>2025: Comprensión lectora</t>
  </si>
  <si>
    <t>2025: Matemáticas 1</t>
  </si>
  <si>
    <t>Matemáticas 2024, 4° básico</t>
  </si>
  <si>
    <t>Lectura 2024, 4° básico</t>
  </si>
  <si>
    <t>Matemáticas 2024, 6° básico</t>
  </si>
  <si>
    <t>Lectura 2024, 6° básico</t>
  </si>
  <si>
    <t>Matemáticas 2024, II° Medio</t>
  </si>
  <si>
    <t>Lectura 2024, II° Medio</t>
  </si>
  <si>
    <t>Años promedio de Escolaridad (personas de +18 años)</t>
  </si>
  <si>
    <t>Asistencia escolar 2025</t>
  </si>
  <si>
    <t>Inasistencia grave y crítica 2025</t>
  </si>
  <si>
    <t>Nueva consulta de especialidad</t>
  </si>
  <si>
    <t>Operación</t>
  </si>
  <si>
    <t>Nueva consulta de especialidad (tasa por 10.000 hab.)</t>
  </si>
  <si>
    <t>Operación (tasa por 10.000 hab.)</t>
  </si>
  <si>
    <t>Total (consulta + operación)</t>
  </si>
  <si>
    <t>Públicos</t>
  </si>
  <si>
    <t>Privados</t>
  </si>
  <si>
    <t>N° de especialidades y subespecialidades</t>
  </si>
  <si>
    <t>% del total nacional (especialidades)</t>
  </si>
  <si>
    <t>Especialistas más demandados (por 100.000 hab.) Oncólogo, cardiólogo, neurólogo, nefrólogo, endocrinólogo</t>
  </si>
  <si>
    <t>Camas totales hospitalarias (2023)</t>
  </si>
  <si>
    <t>Camas críticas (n) (2023)</t>
  </si>
  <si>
    <t>Camas críticas por 10.000 hab.</t>
  </si>
  <si>
    <t>Agricultura, ganadería, silvicultura y pesca</t>
  </si>
  <si>
    <t>Explotación de minas y canteras</t>
  </si>
  <si>
    <t>Industrias manufactureras</t>
  </si>
  <si>
    <t>Suministro de electricidad, gas, vapor y aire acondicionado</t>
  </si>
  <si>
    <t>Suministro de agua</t>
  </si>
  <si>
    <t>Comercio al por mayor y al por menor</t>
  </si>
  <si>
    <t>Transporte y almacenamiento</t>
  </si>
  <si>
    <t>Actividades de alojamiento y de servicio de comidas</t>
  </si>
  <si>
    <t>Información y comunicaciones</t>
  </si>
  <si>
    <t>Actividades financieras y de seguros</t>
  </si>
  <si>
    <t>Actividades inmobiliarias</t>
  </si>
  <si>
    <t>Actividades profesionales, científicas y técnicas</t>
  </si>
  <si>
    <t>Actividades de servicios administrativos y de apoyo</t>
  </si>
  <si>
    <t>Administración pública y defensa</t>
  </si>
  <si>
    <t>Enseñanza</t>
  </si>
  <si>
    <t>Actividades de atención de la salud humana y de asistencia social</t>
  </si>
  <si>
    <t>Actividades artísticas, de entretenimiento y recreativas</t>
  </si>
  <si>
    <t>Otras actividades de servicios</t>
  </si>
  <si>
    <t>Actividades de los hogares como empleadores</t>
  </si>
  <si>
    <t>Actividades de organizaciones y órganos extraterritoriales</t>
  </si>
  <si>
    <t>No sabe / No responde</t>
  </si>
  <si>
    <t>Viviendas Irrecuperables</t>
  </si>
  <si>
    <t>Porcentaje de hogares con vivienda propia</t>
  </si>
  <si>
    <t>Acceso a Red Pública</t>
  </si>
  <si>
    <t>Llave dentro de la vivienda</t>
  </si>
  <si>
    <t>Viviendas concectadas al alcantarillado y fosa séptica</t>
  </si>
  <si>
    <t>Viviendas sin servicios higiénicos</t>
  </si>
  <si>
    <t>Acceso a Internet</t>
  </si>
  <si>
    <t>Tiene religión o credo</t>
  </si>
  <si>
    <t>Mujer</t>
  </si>
  <si>
    <t>Hombre</t>
  </si>
  <si>
    <t>Totalmente insatisfecho/insatisfecho</t>
  </si>
  <si>
    <t>Satisfecho/Totalmente satisfecho</t>
  </si>
  <si>
    <t>Indiferente</t>
  </si>
  <si>
    <t>Porcentaje de comunas con museos</t>
  </si>
  <si>
    <t>Porcentaje de personas que participan en alguna actividad cultural por región (2024)</t>
  </si>
  <si>
    <t>Promedio de libros leídos en los últimos doce meses (2024)</t>
  </si>
  <si>
    <t>Porcentaje de personas que leyó con frecuencia diaria o semanal (2024)</t>
  </si>
  <si>
    <t>Radio</t>
  </si>
  <si>
    <t>TV regional</t>
  </si>
  <si>
    <t>Sí (%) · ve canales regionales</t>
  </si>
  <si>
    <t>No (%) · ve canales regionales</t>
  </si>
  <si>
    <t>1 a 4 (insatisfecho)</t>
  </si>
  <si>
    <t>5 (neutro)</t>
  </si>
  <si>
    <t>6 a 7 (satisfecho)</t>
  </si>
  <si>
    <t>Sí (%)</t>
  </si>
  <si>
    <t>No (%)</t>
  </si>
  <si>
    <t>Edad primer smartphone (años)</t>
  </si>
  <si>
    <t>Vehículos, total (2024)</t>
  </si>
  <si>
    <t>Bencineros</t>
  </si>
  <si>
    <t>Diesel</t>
  </si>
  <si>
    <t>Gas</t>
  </si>
  <si>
    <t>Eléctricos/híbridos</t>
  </si>
  <si>
    <t>N° de proyectos 2025</t>
  </si>
  <si>
    <t>N° de proyectos 2024</t>
  </si>
  <si>
    <t>N° de proyectos 2023</t>
  </si>
  <si>
    <t>Inversión MMUS$ 2025</t>
  </si>
  <si>
    <t>Inversión MMUS$ 2024</t>
  </si>
  <si>
    <t>Inversión MMUS$ 2023</t>
  </si>
  <si>
    <t>Inversión pública (MM US$) 2023</t>
  </si>
  <si>
    <t>Inversión pública (MM US$) 2024</t>
  </si>
  <si>
    <t>Inversión pública (MM US$) 2025</t>
  </si>
  <si>
    <t>Inversión pública per cápita (US$) 2023</t>
  </si>
  <si>
    <t>Inversión pública per cápita (US$) 2024</t>
  </si>
  <si>
    <t>Inversión pública per cápita (US$) 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</si>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</sst>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%"/>
    <numFmt numFmtId="165" formatCode="[$-10C0A]###,###,##0"/>
    <numFmt numFmtId="166" formatCode="#,##0_ ;[Red]\-#,##0\ "/>
    <numFmt numFmtId="167" formatCode="#,##0.0"/>
    <numFmt numFmtId="168" formatCode="0.0"/>
    <numFmt numFmtId="169" formatCode="_(&quot;$&quot;* #,##0_);_(&quot;$&quot;* \(#,##0\);_(&quot;$&quot;* &quot;-&quot;_);_(@_)"/>
    <numFmt numFmtId="170" formatCode="_ &quot;$&quot;* #,##0.0_ ;_ &quot;$&quot;* \-#,##0.0_ ;_ &quot;$&quot;* &quot;-&quot;_ ;_ @_ "/>
    <numFmt numFmtId="171" formatCode="&quot;$&quot;#,##0.0"/>
    <numFmt numFmtId="172" formatCode="&quot;$&quot;#,##0"/>
    <numFmt numFmtId="173" formatCode="0.000"/>
  </numFmts>
  <fonts count="30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C18D91"/>
      <name val="Poppins"/>
    </font>
    <font>
      <b/>
      <i/>
      <sz val="22"/>
      <color rgb="FF475B16"/>
      <name val="Poppins"/>
    </font>
    <font>
      <b/>
      <sz val="10"/>
      <color rgb="FFFFF9E7"/>
      <name val="Poppins"/>
    </font>
    <font>
      <b/>
      <sz val="10"/>
      <color rgb="FF6B4D37"/>
      <name val="Poppins"/>
    </font>
    <font>
      <sz val="10"/>
      <color rgb="FF6B4D37"/>
      <name val="Poppins"/>
    </font>
    <font>
      <u/>
      <sz val="10"/>
      <color rgb="FF6B4D37"/>
      <name val="Poppins"/>
    </font>
    <font>
      <b/>
      <sz val="11"/>
      <color rgb="FF475B16"/>
      <name val="Poppins"/>
    </font>
    <font>
      <i/>
      <sz val="10"/>
      <color rgb="FF6B4D37"/>
      <name val="Poppins"/>
    </font>
    <font>
      <b/>
      <sz val="9"/>
      <color rgb="FF6B4D37"/>
      <name val="Poppins"/>
    </font>
    <font>
      <b/>
      <i/>
      <sz val="26"/>
      <color rgb="FF475B16"/>
      <name val="Poppins"/>
    </font>
    <font>
      <b/>
      <sz val="12"/>
      <color rgb="FF6B4D37"/>
      <name val="Poppins"/>
    </font>
    <font>
      <sz val="9"/>
      <color rgb="FF6B4D37"/>
      <name val="Poppins"/>
    </font>
    <font>
      <i/>
      <sz val="9"/>
      <color rgb="FFA6A6A6"/>
      <name val="Poppins"/>
    </font>
    <font>
      <sz val="9"/>
      <color rgb="FFA6A6A6"/>
      <name val="Poppins"/>
    </font>
    <font>
      <b/>
      <sz val="10"/>
      <color rgb="FF475B16"/>
      <name val="Poppins"/>
    </font>
    <font>
      <b/>
      <i/>
      <sz val="16"/>
      <color rgb="FF475B16"/>
      <name val="Poppins"/>
    </font>
    <font>
      <sz val="10"/>
      <color rgb="FF8C7B6B"/>
      <name val="Poppins"/>
    </font>
    <font>
      <b/>
      <sz val="11"/>
      <color rgb="FF6B4D37"/>
      <name val="Poppins"/>
    </font>
    <font>
      <sz val="9"/>
      <color rgb="FFD9CFAE"/>
      <name val="Poppins"/>
    </font>
    <font>
      <b/>
      <i/>
      <sz val="28"/>
      <color rgb="FF475B16"/>
      <name val="Poppins"/>
    </font>
    <font>
      <i/>
      <sz val="13"/>
      <color rgb="FF6B4D37"/>
      <name val="Poppins"/>
    </font>
    <font>
      <b/>
      <u/>
      <sz val="9"/>
      <color rgb="FF475B16"/>
      <name val="Poppins"/>
    </font>
    <font>
      <b/>
      <sz val="9"/>
      <color rgb="FF475B16"/>
      <name val="Poppins"/>
    </font>
    <font>
      <b/>
      <sz val="8"/>
      <color rgb="FF6B4D37"/>
      <name val="Poppins"/>
    </font>
    <font>
      <b/>
      <sz val="17"/>
      <color rgb="FF475B16"/>
      <name val="Poppins"/>
    </font>
    <font>
      <b/>
      <sz val="9"/>
      <color rgb="FFFFF9E7"/>
      <name val="Poppins"/>
    </font>
    <font>
      <sz val="11"/>
      <color rgb="FFD9CFAE"/>
      <name val="Aptos Narrow"/>
      <family val="2"/>
      <scheme val="minor"/>
    </font>
    <font>
      <i/>
      <sz val="8"/>
      <color rgb="FFA6A6A6"/>
      <name val="Poppins"/>
    </font>
  </fonts>
  <fills count="8">
    <fill>
      <patternFill patternType="none"/>
    </fill>
    <fill>
      <patternFill patternType="gray125"/>
    </fill>
    <fill>
      <patternFill patternType="solid">
        <fgColor rgb="FFFFF9E7"/>
        <bgColor indexed="64"/>
      </patternFill>
    </fill>
    <fill>
      <patternFill patternType="solid">
        <fgColor rgb="FF475B1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DECF"/>
        <bgColor indexed="64"/>
      </patternFill>
    </fill>
    <fill>
      <patternFill patternType="solid">
        <fgColor rgb="FFF4F1E4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E3DECF"/>
      </bottom>
      <diagonal/>
    </border>
    <border>
      <left/>
      <right/>
      <top style="thin">
        <color rgb="FFE3DECF"/>
      </top>
      <bottom style="thin">
        <color rgb="FFE3DECF"/>
      </bottom>
      <diagonal/>
    </border>
    <border>
      <left/>
      <right/>
      <top style="thin">
        <color rgb="FFE3DEC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475B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475B16"/>
      </bottom>
      <diagonal/>
    </border>
    <border>
      <left/>
      <right style="thin">
        <color rgb="FFE3DECF"/>
      </right>
      <top/>
      <bottom style="thin">
        <color rgb="FFE3DECF"/>
      </bottom>
      <diagonal/>
    </border>
    <border>
      <left style="thin">
        <color rgb="FFE3DECF"/>
      </left>
      <right style="thin">
        <color rgb="FFE3DECF"/>
      </right>
      <top/>
      <bottom style="thin">
        <color rgb="FFE3DECF"/>
      </bottom>
      <diagonal/>
    </border>
    <border>
      <left style="thin">
        <color rgb="FFE3DECF"/>
      </left>
      <right/>
      <top/>
      <bottom style="thin">
        <color rgb="FFE3DECF"/>
      </bottom>
      <diagonal/>
    </border>
    <border>
      <left/>
      <right style="thin">
        <color rgb="FFE3DECF"/>
      </right>
      <top style="thin">
        <color rgb="FFE3DECF"/>
      </top>
      <bottom style="thin">
        <color rgb="FFE3DECF"/>
      </bottom>
      <diagonal/>
    </border>
    <border>
      <left style="thin">
        <color rgb="FFE3DECF"/>
      </left>
      <right style="thin">
        <color rgb="FFE3DECF"/>
      </right>
      <top style="thin">
        <color rgb="FFE3DECF"/>
      </top>
      <bottom style="thin">
        <color rgb="FFE3DECF"/>
      </bottom>
      <diagonal/>
    </border>
    <border>
      <left style="thin">
        <color rgb="FFE3DECF"/>
      </left>
      <right/>
      <top style="thin">
        <color rgb="FFE3DECF"/>
      </top>
      <bottom style="thin">
        <color rgb="FFE3DECF"/>
      </bottom>
      <diagonal/>
    </border>
    <border>
      <left style="thin">
        <color rgb="FFD9D9D9"/>
      </left>
      <right style="thin">
        <color rgb="FFE3DECF"/>
      </right>
      <top style="thin">
        <color rgb="FFE3DECF"/>
      </top>
      <bottom style="thin">
        <color rgb="FFE3DECF"/>
      </bottom>
      <diagonal/>
    </border>
    <border>
      <left/>
      <right style="thin">
        <color rgb="FFE3DECF"/>
      </right>
      <top style="thin">
        <color rgb="FFE3DECF"/>
      </top>
      <bottom/>
      <diagonal/>
    </border>
    <border>
      <left style="thin">
        <color rgb="FFE3DECF"/>
      </left>
      <right style="thin">
        <color rgb="FFE3DECF"/>
      </right>
      <top style="thin">
        <color rgb="FFE3DECF"/>
      </top>
      <bottom/>
      <diagonal/>
    </border>
    <border>
      <left style="thin">
        <color rgb="FFE3DECF"/>
      </left>
      <right/>
      <top style="thin">
        <color rgb="FFE3DEC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3DECF"/>
      </right>
      <top/>
      <bottom/>
      <diagonal/>
    </border>
    <border>
      <left style="thin">
        <color rgb="FFE3DECF"/>
      </left>
      <right style="thin">
        <color rgb="FFE3DECF"/>
      </right>
      <top/>
      <bottom/>
      <diagonal/>
    </border>
    <border>
      <left style="thin">
        <color rgb="FFE3DECF"/>
      </left>
      <right/>
      <top/>
      <bottom/>
      <diagonal/>
    </border>
    <border>
      <left style="thick">
        <color rgb="FF475B1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1" applyFont="1" applyFill="1" applyBorder="1" applyAlignment="1">
      <alignment horizontal="center"/>
    </xf>
    <xf numFmtId="0" fontId="6" fillId="2" borderId="3" xfId="0" applyFont="1" applyFill="1" applyBorder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12" fillId="4" borderId="0" xfId="0" applyFont="1" applyFill="1"/>
    <xf numFmtId="0" fontId="12" fillId="4" borderId="7" xfId="0" applyFont="1" applyFill="1" applyBorder="1"/>
    <xf numFmtId="0" fontId="10" fillId="5" borderId="0" xfId="0" applyFont="1" applyFill="1"/>
    <xf numFmtId="0" fontId="13" fillId="2" borderId="0" xfId="0" applyFont="1" applyFill="1"/>
    <xf numFmtId="49" fontId="0" fillId="0" borderId="0" xfId="0" applyNumberFormat="1"/>
    <xf numFmtId="0" fontId="14" fillId="2" borderId="0" xfId="0" applyFont="1" applyFill="1"/>
    <xf numFmtId="0" fontId="15" fillId="2" borderId="0" xfId="0" applyFont="1" applyFill="1"/>
    <xf numFmtId="0" fontId="15" fillId="0" borderId="0" xfId="0" applyFont="1"/>
    <xf numFmtId="49" fontId="15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18" fillId="2" borderId="11" xfId="0" applyNumberFormat="1" applyFont="1" applyFill="1" applyBorder="1" applyAlignment="1">
      <alignment horizontal="left" vertical="center" wrapText="1"/>
    </xf>
    <xf numFmtId="49" fontId="18" fillId="2" borderId="12" xfId="0" applyNumberFormat="1" applyFont="1" applyFill="1" applyBorder="1" applyAlignment="1">
      <alignment horizontal="left" vertical="center" wrapText="1"/>
    </xf>
    <xf numFmtId="49" fontId="19" fillId="2" borderId="12" xfId="0" applyNumberFormat="1" applyFont="1" applyFill="1" applyBorder="1" applyAlignment="1">
      <alignment horizontal="left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3" fontId="6" fillId="6" borderId="12" xfId="0" applyNumberFormat="1" applyFont="1" applyFill="1" applyBorder="1" applyAlignment="1">
      <alignment vertical="center"/>
    </xf>
    <xf numFmtId="3" fontId="6" fillId="2" borderId="12" xfId="0" applyNumberFormat="1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vertical="center"/>
    </xf>
    <xf numFmtId="10" fontId="6" fillId="2" borderId="12" xfId="0" applyNumberFormat="1" applyFont="1" applyFill="1" applyBorder="1" applyAlignment="1">
      <alignment vertical="center"/>
    </xf>
    <xf numFmtId="10" fontId="6" fillId="2" borderId="13" xfId="0" applyNumberFormat="1" applyFont="1" applyFill="1" applyBorder="1" applyAlignment="1">
      <alignment vertical="center"/>
    </xf>
    <xf numFmtId="10" fontId="6" fillId="6" borderId="12" xfId="0" applyNumberFormat="1" applyFont="1" applyFill="1" applyBorder="1" applyAlignment="1">
      <alignment vertical="center"/>
    </xf>
    <xf numFmtId="49" fontId="18" fillId="2" borderId="14" xfId="0" applyNumberFormat="1" applyFont="1" applyFill="1" applyBorder="1" applyAlignment="1">
      <alignment horizontal="left" vertical="center" wrapText="1"/>
    </xf>
    <xf numFmtId="164" fontId="6" fillId="6" borderId="12" xfId="0" applyNumberFormat="1" applyFont="1" applyFill="1" applyBorder="1" applyAlignment="1">
      <alignment vertical="center"/>
    </xf>
    <xf numFmtId="164" fontId="6" fillId="2" borderId="1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vertical="center"/>
    </xf>
    <xf numFmtId="9" fontId="6" fillId="6" borderId="12" xfId="0" applyNumberFormat="1" applyFont="1" applyFill="1" applyBorder="1" applyAlignment="1">
      <alignment vertical="center"/>
    </xf>
    <xf numFmtId="9" fontId="6" fillId="2" borderId="12" xfId="0" applyNumberFormat="1" applyFont="1" applyFill="1" applyBorder="1" applyAlignment="1">
      <alignment vertical="center"/>
    </xf>
    <xf numFmtId="9" fontId="6" fillId="2" borderId="13" xfId="0" applyNumberFormat="1" applyFont="1" applyFill="1" applyBorder="1" applyAlignment="1">
      <alignment vertical="center"/>
    </xf>
    <xf numFmtId="165" fontId="6" fillId="6" borderId="12" xfId="0" applyNumberFormat="1" applyFont="1" applyFill="1" applyBorder="1" applyAlignment="1">
      <alignment vertical="center"/>
    </xf>
    <xf numFmtId="165" fontId="6" fillId="2" borderId="12" xfId="0" applyNumberFormat="1" applyFont="1" applyFill="1" applyBorder="1" applyAlignment="1">
      <alignment vertical="center"/>
    </xf>
    <xf numFmtId="165" fontId="6" fillId="2" borderId="13" xfId="0" applyNumberFormat="1" applyFont="1" applyFill="1" applyBorder="1" applyAlignment="1">
      <alignment vertical="center"/>
    </xf>
    <xf numFmtId="166" fontId="6" fillId="2" borderId="12" xfId="0" applyNumberFormat="1" applyFont="1" applyFill="1" applyBorder="1" applyAlignment="1">
      <alignment vertical="center"/>
    </xf>
    <xf numFmtId="166" fontId="6" fillId="2" borderId="13" xfId="0" applyNumberFormat="1" applyFont="1" applyFill="1" applyBorder="1" applyAlignment="1">
      <alignment vertical="center"/>
    </xf>
    <xf numFmtId="167" fontId="6" fillId="6" borderId="12" xfId="0" applyNumberFormat="1" applyFont="1" applyFill="1" applyBorder="1" applyAlignment="1">
      <alignment vertical="center"/>
    </xf>
    <xf numFmtId="168" fontId="6" fillId="2" borderId="12" xfId="0" applyNumberFormat="1" applyFont="1" applyFill="1" applyBorder="1" applyAlignment="1">
      <alignment vertical="center"/>
    </xf>
    <xf numFmtId="168" fontId="6" fillId="2" borderId="13" xfId="0" applyNumberFormat="1" applyFont="1" applyFill="1" applyBorder="1" applyAlignment="1">
      <alignment vertical="center"/>
    </xf>
    <xf numFmtId="2" fontId="6" fillId="2" borderId="12" xfId="0" applyNumberFormat="1" applyFont="1" applyFill="1" applyBorder="1" applyAlignment="1">
      <alignment vertical="center"/>
    </xf>
    <xf numFmtId="2" fontId="6" fillId="2" borderId="13" xfId="0" applyNumberFormat="1" applyFont="1" applyFill="1" applyBorder="1" applyAlignment="1">
      <alignment vertical="center"/>
    </xf>
    <xf numFmtId="167" fontId="6" fillId="2" borderId="12" xfId="0" applyNumberFormat="1" applyFont="1" applyFill="1" applyBorder="1" applyAlignment="1">
      <alignment vertical="center"/>
    </xf>
    <xf numFmtId="167" fontId="6" fillId="2" borderId="13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2" borderId="12" xfId="0" applyNumberFormat="1" applyFont="1" applyFill="1" applyBorder="1" applyAlignment="1">
      <alignment vertical="center"/>
    </xf>
    <xf numFmtId="4" fontId="6" fillId="2" borderId="13" xfId="0" applyNumberFormat="1" applyFont="1" applyFill="1" applyBorder="1" applyAlignment="1">
      <alignment vertical="center"/>
    </xf>
    <xf numFmtId="169" fontId="6" fillId="6" borderId="12" xfId="0" applyNumberFormat="1" applyFont="1" applyFill="1" applyBorder="1" applyAlignment="1">
      <alignment vertical="center"/>
    </xf>
    <xf numFmtId="169" fontId="6" fillId="2" borderId="12" xfId="0" applyNumberFormat="1" applyFont="1" applyFill="1" applyBorder="1" applyAlignment="1">
      <alignment vertical="center"/>
    </xf>
    <xf numFmtId="169" fontId="6" fillId="2" borderId="13" xfId="0" applyNumberFormat="1" applyFont="1" applyFill="1" applyBorder="1" applyAlignment="1">
      <alignment vertical="center"/>
    </xf>
    <xf numFmtId="170" fontId="6" fillId="6" borderId="12" xfId="0" applyNumberFormat="1" applyFont="1" applyFill="1" applyBorder="1" applyAlignment="1">
      <alignment vertical="center"/>
    </xf>
    <xf numFmtId="170" fontId="6" fillId="2" borderId="12" xfId="0" applyNumberFormat="1" applyFont="1" applyFill="1" applyBorder="1" applyAlignment="1">
      <alignment vertical="center"/>
    </xf>
    <xf numFmtId="170" fontId="6" fillId="2" borderId="13" xfId="0" applyNumberFormat="1" applyFont="1" applyFill="1" applyBorder="1" applyAlignment="1">
      <alignment vertical="center"/>
    </xf>
    <xf numFmtId="168" fontId="6" fillId="6" borderId="12" xfId="0" applyNumberFormat="1" applyFont="1" applyFill="1" applyBorder="1" applyAlignment="1">
      <alignment vertical="center"/>
    </xf>
    <xf numFmtId="2" fontId="6" fillId="6" borderId="12" xfId="0" applyNumberFormat="1" applyFont="1" applyFill="1" applyBorder="1" applyAlignment="1">
      <alignment vertical="center"/>
    </xf>
    <xf numFmtId="49" fontId="18" fillId="2" borderId="15" xfId="0" applyNumberFormat="1" applyFont="1" applyFill="1" applyBorder="1" applyAlignment="1">
      <alignment horizontal="left" vertical="center" wrapText="1"/>
    </xf>
    <xf numFmtId="49" fontId="18" fillId="2" borderId="16" xfId="0" applyNumberFormat="1" applyFont="1" applyFill="1" applyBorder="1" applyAlignment="1">
      <alignment horizontal="left" vertical="center" wrapText="1"/>
    </xf>
    <xf numFmtId="49" fontId="19" fillId="2" borderId="16" xfId="0" applyNumberFormat="1" applyFont="1" applyFill="1" applyBorder="1" applyAlignment="1">
      <alignment horizontal="left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6" borderId="16" xfId="0" applyFont="1" applyFill="1" applyBorder="1" applyAlignment="1">
      <alignment vertical="center"/>
    </xf>
    <xf numFmtId="3" fontId="6" fillId="2" borderId="16" xfId="0" applyNumberFormat="1" applyFont="1" applyFill="1" applyBorder="1" applyAlignment="1">
      <alignment vertical="center"/>
    </xf>
    <xf numFmtId="3" fontId="6" fillId="2" borderId="17" xfId="0" applyNumberFormat="1" applyFont="1" applyFill="1" applyBorder="1" applyAlignment="1">
      <alignment vertical="center"/>
    </xf>
    <xf numFmtId="0" fontId="0" fillId="7" borderId="0" xfId="0" applyFill="1"/>
    <xf numFmtId="0" fontId="20" fillId="0" borderId="0" xfId="0" applyFont="1"/>
    <xf numFmtId="0" fontId="23" fillId="2" borderId="0" xfId="1" applyFont="1" applyFill="1"/>
    <xf numFmtId="0" fontId="24" fillId="2" borderId="0" xfId="0" applyFont="1" applyFill="1"/>
    <xf numFmtId="164" fontId="20" fillId="0" borderId="0" xfId="0" applyNumberFormat="1" applyFont="1"/>
    <xf numFmtId="0" fontId="8" fillId="2" borderId="5" xfId="0" applyFont="1" applyFill="1" applyBorder="1"/>
    <xf numFmtId="0" fontId="27" fillId="3" borderId="0" xfId="0" applyFont="1" applyFill="1"/>
    <xf numFmtId="0" fontId="27" fillId="3" borderId="0" xfId="0" applyFont="1" applyFill="1" applyAlignment="1">
      <alignment horizontal="center"/>
    </xf>
    <xf numFmtId="17" fontId="20" fillId="0" borderId="0" xfId="0" applyNumberFormat="1" applyFont="1"/>
    <xf numFmtId="0" fontId="6" fillId="2" borderId="1" xfId="1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1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1" applyFont="1" applyFill="1" applyBorder="1"/>
    <xf numFmtId="0" fontId="6" fillId="2" borderId="3" xfId="0" applyFont="1" applyFill="1" applyBorder="1" applyAlignment="1">
      <alignment horizontal="center"/>
    </xf>
    <xf numFmtId="0" fontId="28" fillId="0" borderId="0" xfId="0" applyFont="1"/>
    <xf numFmtId="49" fontId="18" fillId="2" borderId="11" xfId="0" applyNumberFormat="1" applyFont="1" applyFill="1" applyBorder="1" applyAlignment="1">
      <alignment horizontal="left" vertical="center"/>
    </xf>
    <xf numFmtId="49" fontId="18" fillId="2" borderId="12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left" vertical="center"/>
    </xf>
    <xf numFmtId="0" fontId="6" fillId="4" borderId="12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left" vertical="center"/>
    </xf>
    <xf numFmtId="3" fontId="6" fillId="4" borderId="12" xfId="0" applyNumberFormat="1" applyFont="1" applyFill="1" applyBorder="1" applyAlignment="1">
      <alignment vertical="center"/>
    </xf>
    <xf numFmtId="10" fontId="6" fillId="4" borderId="12" xfId="0" applyNumberFormat="1" applyFont="1" applyFill="1" applyBorder="1" applyAlignment="1">
      <alignment vertical="center"/>
    </xf>
    <xf numFmtId="164" fontId="6" fillId="4" borderId="12" xfId="0" applyNumberFormat="1" applyFont="1" applyFill="1" applyBorder="1" applyAlignment="1">
      <alignment vertical="center"/>
    </xf>
    <xf numFmtId="9" fontId="6" fillId="4" borderId="12" xfId="0" applyNumberFormat="1" applyFont="1" applyFill="1" applyBorder="1" applyAlignment="1">
      <alignment vertical="center"/>
    </xf>
    <xf numFmtId="165" fontId="6" fillId="4" borderId="12" xfId="0" applyNumberFormat="1" applyFont="1" applyFill="1" applyBorder="1" applyAlignment="1">
      <alignment vertical="center"/>
    </xf>
    <xf numFmtId="167" fontId="6" fillId="4" borderId="12" xfId="0" applyNumberFormat="1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vertical="center"/>
    </xf>
    <xf numFmtId="169" fontId="6" fillId="4" borderId="12" xfId="0" applyNumberFormat="1" applyFont="1" applyFill="1" applyBorder="1" applyAlignment="1">
      <alignment vertical="center"/>
    </xf>
    <xf numFmtId="170" fontId="6" fillId="4" borderId="12" xfId="0" applyNumberFormat="1" applyFont="1" applyFill="1" applyBorder="1" applyAlignment="1">
      <alignment vertical="center"/>
    </xf>
    <xf numFmtId="168" fontId="6" fillId="4" borderId="12" xfId="0" applyNumberFormat="1" applyFont="1" applyFill="1" applyBorder="1" applyAlignment="1">
      <alignment vertical="center"/>
    </xf>
    <xf numFmtId="2" fontId="6" fillId="4" borderId="12" xfId="0" applyNumberFormat="1" applyFont="1" applyFill="1" applyBorder="1" applyAlignment="1">
      <alignment vertical="center"/>
    </xf>
    <xf numFmtId="49" fontId="18" fillId="2" borderId="15" xfId="0" applyNumberFormat="1" applyFont="1" applyFill="1" applyBorder="1" applyAlignment="1">
      <alignment horizontal="left" vertical="center"/>
    </xf>
    <xf numFmtId="49" fontId="18" fillId="2" borderId="16" xfId="0" applyNumberFormat="1" applyFont="1" applyFill="1" applyBorder="1" applyAlignment="1">
      <alignment horizontal="left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left" vertical="center"/>
    </xf>
    <xf numFmtId="0" fontId="6" fillId="4" borderId="16" xfId="0" applyFont="1" applyFill="1" applyBorder="1" applyAlignment="1">
      <alignment vertical="center"/>
    </xf>
    <xf numFmtId="49" fontId="6" fillId="2" borderId="17" xfId="0" applyNumberFormat="1" applyFont="1" applyFill="1" applyBorder="1" applyAlignment="1">
      <alignment horizontal="left" vertical="center"/>
    </xf>
    <xf numFmtId="49" fontId="18" fillId="2" borderId="19" xfId="0" applyNumberFormat="1" applyFont="1" applyFill="1" applyBorder="1" applyAlignment="1">
      <alignment horizontal="left" vertical="center"/>
    </xf>
    <xf numFmtId="49" fontId="18" fillId="2" borderId="20" xfId="0" applyNumberFormat="1" applyFont="1" applyFill="1" applyBorder="1" applyAlignment="1">
      <alignment horizontal="left" vertical="center"/>
    </xf>
    <xf numFmtId="49" fontId="6" fillId="2" borderId="20" xfId="0" applyNumberFormat="1" applyFont="1" applyFill="1" applyBorder="1" applyAlignment="1">
      <alignment horizontal="left" vertical="center" wrapText="1"/>
    </xf>
    <xf numFmtId="49" fontId="6" fillId="2" borderId="20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left" vertical="center"/>
    </xf>
    <xf numFmtId="49" fontId="6" fillId="2" borderId="21" xfId="0" applyNumberFormat="1" applyFont="1" applyFill="1" applyBorder="1" applyAlignment="1">
      <alignment horizontal="left" vertical="center"/>
    </xf>
    <xf numFmtId="0" fontId="21" fillId="2" borderId="0" xfId="0" applyFont="1" applyFill="1"/>
    <xf numFmtId="0" fontId="22" fillId="2" borderId="0" xfId="0" applyFont="1" applyFill="1"/>
    <xf numFmtId="0" fontId="18" fillId="2" borderId="12" xfId="0" applyFont="1" applyFill="1" applyBorder="1" applyAlignment="1">
      <alignment vertical="center"/>
    </xf>
    <xf numFmtId="3" fontId="18" fillId="2" borderId="12" xfId="0" applyNumberFormat="1" applyFont="1" applyFill="1" applyBorder="1" applyAlignment="1">
      <alignment vertical="center"/>
    </xf>
    <xf numFmtId="10" fontId="18" fillId="2" borderId="12" xfId="0" applyNumberFormat="1" applyFont="1" applyFill="1" applyBorder="1" applyAlignment="1">
      <alignment vertical="center"/>
    </xf>
    <xf numFmtId="164" fontId="18" fillId="2" borderId="12" xfId="0" applyNumberFormat="1" applyFont="1" applyFill="1" applyBorder="1" applyAlignment="1">
      <alignment vertical="center"/>
    </xf>
    <xf numFmtId="9" fontId="18" fillId="2" borderId="12" xfId="0" applyNumberFormat="1" applyFont="1" applyFill="1" applyBorder="1" applyAlignment="1">
      <alignment vertical="center"/>
    </xf>
    <xf numFmtId="165" fontId="18" fillId="2" borderId="12" xfId="0" applyNumberFormat="1" applyFont="1" applyFill="1" applyBorder="1" applyAlignment="1">
      <alignment vertical="center"/>
    </xf>
    <xf numFmtId="166" fontId="6" fillId="4" borderId="12" xfId="0" applyNumberFormat="1" applyFont="1" applyFill="1" applyBorder="1" applyAlignment="1">
      <alignment vertical="center"/>
    </xf>
    <xf numFmtId="167" fontId="18" fillId="2" borderId="12" xfId="0" applyNumberFormat="1" applyFont="1" applyFill="1" applyBorder="1" applyAlignment="1">
      <alignment vertical="center"/>
    </xf>
    <xf numFmtId="4" fontId="18" fillId="2" borderId="12" xfId="0" applyNumberFormat="1" applyFont="1" applyFill="1" applyBorder="1" applyAlignment="1">
      <alignment vertical="center"/>
    </xf>
    <xf numFmtId="169" fontId="18" fillId="2" borderId="12" xfId="0" applyNumberFormat="1" applyFont="1" applyFill="1" applyBorder="1" applyAlignment="1">
      <alignment vertical="center"/>
    </xf>
    <xf numFmtId="170" fontId="18" fillId="2" borderId="12" xfId="0" applyNumberFormat="1" applyFont="1" applyFill="1" applyBorder="1" applyAlignment="1">
      <alignment vertical="center"/>
    </xf>
    <xf numFmtId="168" fontId="18" fillId="2" borderId="12" xfId="0" applyNumberFormat="1" applyFont="1" applyFill="1" applyBorder="1" applyAlignment="1">
      <alignment vertical="center"/>
    </xf>
    <xf numFmtId="2" fontId="18" fillId="2" borderId="12" xfId="0" applyNumberFormat="1" applyFont="1" applyFill="1" applyBorder="1" applyAlignment="1">
      <alignment vertical="center"/>
    </xf>
    <xf numFmtId="3" fontId="6" fillId="4" borderId="16" xfId="0" applyNumberFormat="1" applyFont="1" applyFill="1" applyBorder="1" applyAlignment="1">
      <alignment vertical="center"/>
    </xf>
    <xf numFmtId="0" fontId="18" fillId="2" borderId="16" xfId="0" applyFont="1" applyFill="1" applyBorder="1" applyAlignment="1">
      <alignment vertical="center"/>
    </xf>
    <xf numFmtId="4" fontId="15" fillId="2" borderId="0" xfId="0" applyNumberFormat="1" applyFont="1" applyFill="1"/>
    <xf numFmtId="0" fontId="25" fillId="4" borderId="22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64" fontId="8" fillId="4" borderId="22" xfId="0" applyNumberFormat="1" applyFont="1" applyFill="1" applyBorder="1" applyAlignment="1">
      <alignment horizontal="center" vertical="center"/>
    </xf>
    <xf numFmtId="3" fontId="8" fillId="4" borderId="0" xfId="0" applyNumberFormat="1" applyFont="1" applyFill="1" applyAlignment="1">
      <alignment horizontal="center" vertical="center"/>
    </xf>
    <xf numFmtId="3" fontId="26" fillId="4" borderId="22" xfId="0" applyNumberFormat="1" applyFont="1" applyFill="1" applyBorder="1" applyAlignment="1">
      <alignment horizontal="center" vertical="center"/>
    </xf>
    <xf numFmtId="3" fontId="26" fillId="4" borderId="0" xfId="0" applyNumberFormat="1" applyFont="1" applyFill="1" applyAlignment="1">
      <alignment horizontal="center" vertical="center"/>
    </xf>
    <xf numFmtId="2" fontId="26" fillId="4" borderId="22" xfId="0" applyNumberFormat="1" applyFont="1" applyFill="1" applyBorder="1" applyAlignment="1">
      <alignment horizontal="center" vertical="center"/>
    </xf>
    <xf numFmtId="167" fontId="26" fillId="4" borderId="0" xfId="0" applyNumberFormat="1" applyFont="1" applyFill="1" applyAlignment="1">
      <alignment horizontal="center" vertical="center"/>
    </xf>
    <xf numFmtId="164" fontId="26" fillId="4" borderId="22" xfId="0" applyNumberFormat="1" applyFont="1" applyFill="1" applyBorder="1" applyAlignment="1">
      <alignment horizontal="center" vertical="center"/>
    </xf>
    <xf numFmtId="164" fontId="26" fillId="4" borderId="0" xfId="0" applyNumberFormat="1" applyFont="1" applyFill="1" applyAlignment="1">
      <alignment horizontal="center" vertical="center"/>
    </xf>
    <xf numFmtId="0" fontId="29" fillId="4" borderId="22" xfId="0" applyFont="1" applyFill="1" applyBorder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171" fontId="26" fillId="4" borderId="22" xfId="0" applyNumberFormat="1" applyFont="1" applyFill="1" applyBorder="1" applyAlignment="1">
      <alignment horizontal="center" vertical="center"/>
    </xf>
    <xf numFmtId="171" fontId="26" fillId="4" borderId="0" xfId="0" applyNumberFormat="1" applyFont="1" applyFill="1" applyAlignment="1">
      <alignment horizontal="center" vertical="center"/>
    </xf>
    <xf numFmtId="172" fontId="26" fillId="4" borderId="22" xfId="0" applyNumberFormat="1" applyFont="1" applyFill="1" applyBorder="1" applyAlignment="1">
      <alignment horizontal="center" vertical="center"/>
    </xf>
    <xf numFmtId="172" fontId="26" fillId="4" borderId="0" xfId="0" applyNumberFormat="1" applyFont="1" applyFill="1" applyAlignment="1">
      <alignment horizontal="center" vertical="center"/>
    </xf>
    <xf numFmtId="168" fontId="26" fillId="4" borderId="22" xfId="0" applyNumberFormat="1" applyFont="1" applyFill="1" applyBorder="1" applyAlignment="1">
      <alignment horizontal="center" vertical="center"/>
    </xf>
    <xf numFmtId="168" fontId="26" fillId="4" borderId="0" xfId="0" applyNumberFormat="1" applyFont="1" applyFill="1" applyAlignment="1">
      <alignment horizontal="center" vertical="center"/>
    </xf>
    <xf numFmtId="173" fontId="26" fillId="4" borderId="22" xfId="0" applyNumberFormat="1" applyFont="1" applyFill="1" applyBorder="1" applyAlignment="1">
      <alignment horizontal="center" vertical="center"/>
    </xf>
    <xf numFmtId="173" fontId="26" fillId="4" borderId="0" xfId="0" applyNumberFormat="1" applyFont="1" applyFill="1" applyAlignment="1">
      <alignment horizontal="center" vertical="center"/>
    </xf>
    <xf numFmtId="167" fontId="26" fillId="4" borderId="22" xfId="0" applyNumberFormat="1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167" fontId="26" fillId="4" borderId="24" xfId="0" applyNumberFormat="1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164" fontId="26" fillId="4" borderId="24" xfId="0" applyNumberFormat="1" applyFont="1" applyFill="1" applyBorder="1" applyAlignment="1">
      <alignment horizontal="center" vertical="center"/>
    </xf>
    <xf numFmtId="3" fontId="26" fillId="4" borderId="24" xfId="0" applyNumberFormat="1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8" fillId="2" borderId="18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25" fillId="4" borderId="6" xfId="0" applyFont="1" applyFill="1" applyBorder="1" applyAlignment="1">
      <alignment horizontal="center"/>
    </xf>
    <xf numFmtId="3" fontId="8" fillId="4" borderId="6" xfId="0" applyNumberFormat="1" applyFont="1" applyFill="1" applyBorder="1" applyAlignment="1">
      <alignment horizontal="center" vertical="center" wrapText="1"/>
    </xf>
    <xf numFmtId="164" fontId="8" fillId="4" borderId="6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 wrapText="1"/>
    </xf>
    <xf numFmtId="168" fontId="8" fillId="4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3" fontId="26" fillId="4" borderId="6" xfId="0" applyNumberFormat="1" applyFont="1" applyFill="1" applyBorder="1" applyAlignment="1">
      <alignment horizontal="center" vertical="center"/>
    </xf>
    <xf numFmtId="164" fontId="26" fillId="4" borderId="6" xfId="0" applyNumberFormat="1" applyFont="1" applyFill="1" applyBorder="1" applyAlignment="1">
      <alignment horizontal="center" vertical="center"/>
    </xf>
    <xf numFmtId="172" fontId="26" fillId="4" borderId="23" xfId="0" applyNumberFormat="1" applyFont="1" applyFill="1" applyBorder="1" applyAlignment="1">
      <alignment horizontal="center" vertical="center"/>
    </xf>
    <xf numFmtId="168" fontId="26" fillId="4" borderId="23" xfId="0" applyNumberFormat="1" applyFont="1" applyFill="1" applyBorder="1" applyAlignment="1">
      <alignment horizontal="center" vertical="center"/>
    </xf>
    <xf numFmtId="173" fontId="26" fillId="4" borderId="23" xfId="0" applyNumberFormat="1" applyFont="1" applyFill="1" applyBorder="1" applyAlignment="1">
      <alignment horizontal="center" vertical="center"/>
    </xf>
    <xf numFmtId="171" fontId="26" fillId="4" borderId="6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Población por grupos etarios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'O''Higgins · Panel'!$M$64</c:f>
              <c:strCache>
                <c:ptCount val="1"/>
                <c:pt idx="0">
                  <c:v>O'Higgins</c:v>
                </c:pt>
              </c:strCache>
            </c:strRef>
          </c:tx>
          <c:spPr>
            <a:solidFill>
              <a:srgbClr val="9CBF7E"/>
            </a:solidFill>
            <a:ln>
              <a:noFill/>
            </a:ln>
            <a:effectLst/>
          </c:spPr>
          <c:invertIfNegative val="0"/>
          <c:cat>
            <c:strRef>
              <c:f>'O''Higgins · Panel'!$L$65:$L$67</c:f>
              <c:strCache>
                <c:ptCount val="3"/>
                <c:pt idx="0">
                  <c:v>0 a 14 años</c:v>
                </c:pt>
                <c:pt idx="1">
                  <c:v>15 a 64 años</c:v>
                </c:pt>
                <c:pt idx="2">
                  <c:v>65 años y más</c:v>
                </c:pt>
              </c:strCache>
            </c:strRef>
          </c:cat>
          <c:val>
            <c:numRef>
              <c:f>'O''Higgins · Panel'!$M$65:$M$67</c:f>
              <c:numCache>
                <c:formatCode>0.0%</c:formatCode>
                <c:ptCount val="3"/>
                <c:pt idx="0">
                  <c:v>0.18251361254619</c:v>
                </c:pt>
                <c:pt idx="1">
                  <c:v>0.65777778207924997</c:v>
                </c:pt>
                <c:pt idx="2">
                  <c:v>0.15970860537456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A6-4CE7-A8A5-E8A3F19FC565}"/>
            </c:ext>
          </c:extLst>
        </c:ser>
        <c:ser>
          <c:idx val="1"/>
          <c:order val="1"/>
          <c:tx>
            <c:strRef>
              <c:f>'O''Higgins · Panel'!$N$64</c:f>
              <c:strCache>
                <c:ptCount val="1"/>
                <c:pt idx="0">
                  <c:v>País</c:v>
                </c:pt>
              </c:strCache>
            </c:strRef>
          </c:tx>
          <c:spPr>
            <a:solidFill>
              <a:srgbClr val="E3DECF"/>
            </a:solidFill>
            <a:ln>
              <a:noFill/>
            </a:ln>
            <a:effectLst/>
          </c:spPr>
          <c:invertIfNegative val="0"/>
          <c:cat>
            <c:strRef>
              <c:f>'O''Higgins · Panel'!$L$65:$L$67</c:f>
              <c:strCache>
                <c:ptCount val="3"/>
                <c:pt idx="0">
                  <c:v>0 a 14 años</c:v>
                </c:pt>
                <c:pt idx="1">
                  <c:v>15 a 64 años</c:v>
                </c:pt>
                <c:pt idx="2">
                  <c:v>65 años y más</c:v>
                </c:pt>
              </c:strCache>
            </c:strRef>
          </c:cat>
          <c:val>
            <c:numRef>
              <c:f>'O''Higgins · Panel'!$N$65:$N$67</c:f>
              <c:numCache>
                <c:formatCode>0.0%</c:formatCode>
                <c:ptCount val="3"/>
                <c:pt idx="0">
                  <c:v>0.18161011212328701</c:v>
                </c:pt>
                <c:pt idx="1">
                  <c:v>0.67605096127060804</c:v>
                </c:pt>
                <c:pt idx="2">
                  <c:v>0.142338926606104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A6-4CE7-A8A5-E8A3F19FC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0426959"/>
        <c:axId val="1164825551"/>
      </c:barChart>
      <c:catAx>
        <c:axId val="1250426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164825551"/>
        <c:crosses val="autoZero"/>
        <c:auto val="1"/>
        <c:lblAlgn val="ctr"/>
        <c:lblOffset val="100"/>
        <c:noMultiLvlLbl val="0"/>
      </c:catAx>
      <c:valAx>
        <c:axId val="1164825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250426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Tasa de desocupación 2015 - jun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'O''Higgins · Panel'!$M$70</c:f>
              <c:strCache>
                <c:ptCount val="1"/>
                <c:pt idx="0">
                  <c:v>O'Higgins</c:v>
                </c:pt>
              </c:strCache>
            </c:strRef>
          </c:tx>
          <c:spPr>
            <a:ln w="28575" cap="rnd">
              <a:solidFill>
                <a:srgbClr val="5F8F9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'O''Higgins · Panel'!$L$71:$L$82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 formatCode="mmm\-yy">
                  <c:v>46174</c:v>
                </c:pt>
              </c:numCache>
            </c:numRef>
          </c:cat>
          <c:val>
            <c:numRef>
              <c:f>'O''Higgins · Panel'!$M$71:$M$82</c:f>
              <c:numCache>
                <c:formatCode>0.0%</c:formatCode>
                <c:ptCount val="12"/>
                <c:pt idx="0">
                  <c:v>5.7000000000000002E-2</c:v>
                </c:pt>
                <c:pt idx="1">
                  <c:v>6.5000000000000002E-2</c:v>
                </c:pt>
                <c:pt idx="2">
                  <c:v>6.8000000000000005E-2</c:v>
                </c:pt>
                <c:pt idx="3">
                  <c:v>7.5999999999999998E-2</c:v>
                </c:pt>
                <c:pt idx="4">
                  <c:v>7.6999999999999999E-2</c:v>
                </c:pt>
                <c:pt idx="5">
                  <c:v>0.108</c:v>
                </c:pt>
                <c:pt idx="6">
                  <c:v>8.7999999999999995E-2</c:v>
                </c:pt>
                <c:pt idx="7">
                  <c:v>7.0000000000000007E-2</c:v>
                </c:pt>
                <c:pt idx="8">
                  <c:v>8.5999999999999993E-2</c:v>
                </c:pt>
                <c:pt idx="9">
                  <c:v>8.6999999999999994E-2</c:v>
                </c:pt>
                <c:pt idx="10">
                  <c:v>8.3000000000000004E-2</c:v>
                </c:pt>
                <c:pt idx="11">
                  <c:v>0.104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9-4880-8389-A82C19A2AED4}"/>
            </c:ext>
          </c:extLst>
        </c:ser>
        <c:ser>
          <c:idx val="1"/>
          <c:order val="1"/>
          <c:tx>
            <c:strRef>
              <c:f>'O''Higgins · Panel'!$N$70</c:f>
              <c:strCache>
                <c:ptCount val="1"/>
                <c:pt idx="0">
                  <c:v>País</c:v>
                </c:pt>
              </c:strCache>
            </c:strRef>
          </c:tx>
          <c:spPr>
            <a:ln w="28575" cap="rnd">
              <a:solidFill>
                <a:srgbClr val="C4A85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'O''Higgins · Panel'!$L$71:$L$82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 formatCode="mmm\-yy">
                  <c:v>46174</c:v>
                </c:pt>
              </c:numCache>
            </c:numRef>
          </c:cat>
          <c:val>
            <c:numRef>
              <c:f>'O''Higgins · Panel'!$N$71:$N$82</c:f>
              <c:numCache>
                <c:formatCode>0.0%</c:formatCode>
                <c:ptCount val="12"/>
                <c:pt idx="0">
                  <c:v>6.3E-2</c:v>
                </c:pt>
                <c:pt idx="1">
                  <c:v>6.7000000000000004E-2</c:v>
                </c:pt>
                <c:pt idx="2">
                  <c:v>7.0000000000000007E-2</c:v>
                </c:pt>
                <c:pt idx="3">
                  <c:v>7.3999999999999996E-2</c:v>
                </c:pt>
                <c:pt idx="4">
                  <c:v>7.1999999999999995E-2</c:v>
                </c:pt>
                <c:pt idx="5">
                  <c:v>0.105</c:v>
                </c:pt>
                <c:pt idx="6">
                  <c:v>8.7999999999999995E-2</c:v>
                </c:pt>
                <c:pt idx="7">
                  <c:v>7.9000000000000001E-2</c:v>
                </c:pt>
                <c:pt idx="8">
                  <c:v>8.6999999999999994E-2</c:v>
                </c:pt>
                <c:pt idx="9">
                  <c:v>8.5000000000000006E-2</c:v>
                </c:pt>
                <c:pt idx="10">
                  <c:v>8.5999999999999993E-2</c:v>
                </c:pt>
                <c:pt idx="11">
                  <c:v>9.4E-2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89-4880-8389-A82C19A2A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1483312"/>
        <c:axId val="1164837071"/>
      </c:lineChart>
      <c:catAx>
        <c:axId val="147148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164837071"/>
        <c:crosses val="autoZero"/>
        <c:auto val="1"/>
        <c:lblAlgn val="ctr"/>
        <c:lblOffset val="100"/>
        <c:noMultiLvlLbl val="0"/>
      </c:catAx>
      <c:valAx>
        <c:axId val="116483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47148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PIB por sector (% del total)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'O''Higgins · Panel'!$M$85</c:f>
              <c:strCache>
                <c:ptCount val="1"/>
                <c:pt idx="0">
                  <c:v>% del PIB regional</c:v>
                </c:pt>
              </c:strCache>
            </c:strRef>
          </c:tx>
          <c:spPr>
            <a:solidFill>
              <a:srgbClr val="C4A85D"/>
            </a:solidFill>
            <a:ln>
              <a:noFill/>
            </a:ln>
            <a:effectLst/>
          </c:spPr>
          <c:invertIfNegative val="0"/>
          <c:cat>
            <c:strRef>
              <c:f>'O''Higgins · Panel'!$L$86:$L$98</c:f>
              <c:strCache>
                <c:ptCount val="13"/>
                <c:pt idx="0">
                  <c:v>Agropecuario-silvícola</c:v>
                </c:pt>
                <c:pt idx="1">
                  <c:v>Pesca</c:v>
                </c:pt>
                <c:pt idx="2">
                  <c:v>Minería</c:v>
                </c:pt>
                <c:pt idx="3">
                  <c:v>Industria manufacturera</c:v>
                </c:pt>
                <c:pt idx="4">
                  <c:v>Electricidad, gas, agua y gestión de desechos</c:v>
                </c:pt>
                <c:pt idx="5">
                  <c:v>Construcción</c:v>
                </c:pt>
                <c:pt idx="6">
                  <c:v>Comercio</c:v>
                </c:pt>
                <c:pt idx="7">
                  <c:v>Restaurantes y hoteles</c:v>
                </c:pt>
                <c:pt idx="8">
                  <c:v>Transporte, información y comunicaciones</c:v>
                </c:pt>
                <c:pt idx="9">
                  <c:v>Servicios financieros y empresariales</c:v>
                </c:pt>
                <c:pt idx="10">
                  <c:v>Servicios de vivienda e inmobiliarios</c:v>
                </c:pt>
                <c:pt idx="11">
                  <c:v>Servicios personales</c:v>
                </c:pt>
                <c:pt idx="12">
                  <c:v>Administración pública</c:v>
                </c:pt>
              </c:strCache>
            </c:strRef>
          </c:cat>
          <c:val>
            <c:numRef>
              <c:f>'O''Higgins · Panel'!$M$86:$M$98</c:f>
              <c:numCache>
                <c:formatCode>0.0%</c:formatCode>
                <c:ptCount val="13"/>
                <c:pt idx="0">
                  <c:v>0.17125617114646199</c:v>
                </c:pt>
                <c:pt idx="1">
                  <c:v>5.4854635216675801E-4</c:v>
                </c:pt>
                <c:pt idx="2">
                  <c:v>8.6121777290181001E-2</c:v>
                </c:pt>
                <c:pt idx="3">
                  <c:v>9.6544157981349396E-2</c:v>
                </c:pt>
                <c:pt idx="4">
                  <c:v>3.8946791003839798E-2</c:v>
                </c:pt>
                <c:pt idx="5">
                  <c:v>6.4947888096544198E-2</c:v>
                </c:pt>
                <c:pt idx="6">
                  <c:v>0.100713110257817</c:v>
                </c:pt>
                <c:pt idx="7">
                  <c:v>1.7114646187602899E-2</c:v>
                </c:pt>
                <c:pt idx="8">
                  <c:v>6.06692265496434E-2</c:v>
                </c:pt>
                <c:pt idx="9">
                  <c:v>9.6763576522216094E-2</c:v>
                </c:pt>
                <c:pt idx="10">
                  <c:v>8.9083927591881495E-2</c:v>
                </c:pt>
                <c:pt idx="11">
                  <c:v>0.139659901261657</c:v>
                </c:pt>
                <c:pt idx="12">
                  <c:v>3.7630279758639598E-2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FC-48E0-80FD-61FC557D2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0488559"/>
        <c:axId val="1164788111"/>
      </c:barChart>
      <c:catAx>
        <c:axId val="304885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164788111"/>
        <c:crosses val="autoZero"/>
        <c:auto val="1"/>
        <c:lblAlgn val="ctr"/>
        <c:lblOffset val="100"/>
        <c:noMultiLvlLbl val="0"/>
      </c:catAx>
      <c:valAx>
        <c:axId val="1164788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30488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Indicadores sociales · región vs país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'O''Higgins · Panel'!$M$101</c:f>
              <c:strCache>
                <c:ptCount val="1"/>
                <c:pt idx="0">
                  <c:v>O'Higgins</c:v>
                </c:pt>
              </c:strCache>
            </c:strRef>
          </c:tx>
          <c:spPr>
            <a:solidFill>
              <a:srgbClr val="7FAFA4"/>
            </a:solidFill>
            <a:ln>
              <a:noFill/>
            </a:ln>
            <a:effectLst/>
          </c:spPr>
          <c:invertIfNegative val="0"/>
          <c:cat>
            <c:strRef>
              <c:f>'O''Higgins · Panel'!$L$102:$L$107</c:f>
              <c:strCache>
                <c:ptCount val="6"/>
                <c:pt idx="0">
                  <c:v>Desocupación</c:v>
                </c:pt>
                <c:pt idx="1">
                  <c:v>Informalidad</c:v>
                </c:pt>
                <c:pt idx="2">
                  <c:v>Pobreza ingresos</c:v>
                </c:pt>
                <c:pt idx="3">
                  <c:v>Pobreza multidim.</c:v>
                </c:pt>
                <c:pt idx="4">
                  <c:v>Hacinamiento</c:v>
                </c:pt>
                <c:pt idx="5">
                  <c:v>Acceso a internet</c:v>
                </c:pt>
              </c:strCache>
            </c:strRef>
          </c:cat>
          <c:val>
            <c:numRef>
              <c:f>'O''Higgins · Panel'!$M$102:$M$107</c:f>
              <c:numCache>
                <c:formatCode>0.0%</c:formatCode>
                <c:ptCount val="6"/>
                <c:pt idx="0">
                  <c:v>0.104</c:v>
                </c:pt>
                <c:pt idx="1">
                  <c:v>0.30299999999999999</c:v>
                </c:pt>
                <c:pt idx="2">
                  <c:v>0.17899999999999999</c:v>
                </c:pt>
                <c:pt idx="3">
                  <c:v>0.17899999999999999</c:v>
                </c:pt>
                <c:pt idx="4">
                  <c:v>5.0999999999999997E-2</c:v>
                </c:pt>
                <c:pt idx="5">
                  <c:v>0.91200000000000003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8-4B49-AEA3-FE2E5BEC6810}"/>
            </c:ext>
          </c:extLst>
        </c:ser>
        <c:ser>
          <c:idx val="1"/>
          <c:order val="1"/>
          <c:tx>
            <c:strRef>
              <c:f>'O''Higgins · Panel'!$N$101</c:f>
              <c:strCache>
                <c:ptCount val="1"/>
                <c:pt idx="0">
                  <c:v>País</c:v>
                </c:pt>
              </c:strCache>
            </c:strRef>
          </c:tx>
          <c:spPr>
            <a:solidFill>
              <a:srgbClr val="E3DECF"/>
            </a:solidFill>
            <a:ln>
              <a:noFill/>
            </a:ln>
            <a:effectLst/>
          </c:spPr>
          <c:invertIfNegative val="0"/>
          <c:cat>
            <c:strRef>
              <c:f>'O''Higgins · Panel'!$L$102:$L$107</c:f>
              <c:strCache>
                <c:ptCount val="6"/>
                <c:pt idx="0">
                  <c:v>Desocupación</c:v>
                </c:pt>
                <c:pt idx="1">
                  <c:v>Informalidad</c:v>
                </c:pt>
                <c:pt idx="2">
                  <c:v>Pobreza ingresos</c:v>
                </c:pt>
                <c:pt idx="3">
                  <c:v>Pobreza multidim.</c:v>
                </c:pt>
                <c:pt idx="4">
                  <c:v>Hacinamiento</c:v>
                </c:pt>
                <c:pt idx="5">
                  <c:v>Acceso a internet</c:v>
                </c:pt>
              </c:strCache>
            </c:strRef>
          </c:cat>
          <c:val>
            <c:numRef>
              <c:f>'O''Higgins · Panel'!$N$102:$N$107</c:f>
              <c:numCache>
                <c:formatCode>0.0%</c:formatCode>
                <c:ptCount val="6"/>
                <c:pt idx="0">
                  <c:v>9.4E-2</c:v>
                </c:pt>
                <c:pt idx="1">
                  <c:v>0.27</c:v>
                </c:pt>
                <c:pt idx="2">
                  <c:v>0.17299999999999999</c:v>
                </c:pt>
                <c:pt idx="3">
                  <c:v>0.17699999999999999</c:v>
                </c:pt>
                <c:pt idx="4">
                  <c:v>5.7000000000000002E-2</c:v>
                </c:pt>
                <c:pt idx="5">
                  <c:v>0.93200000000000005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8-4B49-AEA3-FE2E5BEC6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132832"/>
        <c:axId val="1164817871"/>
      </c:barChart>
      <c:catAx>
        <c:axId val="206613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164817871"/>
        <c:crosses val="autoZero"/>
        <c:auto val="1"/>
        <c:lblAlgn val="ctr"/>
        <c:lblOffset val="100"/>
        <c:noMultiLvlLbl val="0"/>
      </c:catAx>
      <c:valAx>
        <c:axId val="1164817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206613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Indicador 1 · O'Higgins vs. total nacional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Comparador!$I$12</c:f>
              <c:strCache>
                <c:ptCount val="1"/>
                <c:pt idx="0">
                  <c:v>Indicador 1 (num)</c:v>
                </c:pt>
              </c:strCache>
            </c:strRef>
          </c:tx>
          <c:spPr>
            <a:solidFill>
              <a:srgbClr val="9BBF7E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6B4D37"/>
                    </a:solidFill>
                    <a:latin typeface="Poppins"/>
                    <a:ea typeface="Poppins"/>
                    <a:cs typeface="Poppin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Comparador!$H$13:$H$14</c:f>
              <c:strCache>
                <c:ptCount val="2"/>
                <c:pt idx="0">
                  <c:v>O'Higgins</c:v>
                </c:pt>
                <c:pt idx="1">
                  <c:v>Total nacional</c:v>
                </c:pt>
              </c:strCache>
            </c:strRef>
          </c:cat>
          <c:val>
            <c:numRef>
              <c:f>Comparador!$L$13:$L$14</c:f>
              <c:numCache>
                <c:formatCode>#,##0.00</c:formatCode>
                <c:ptCount val="2"/>
                <c:pt idx="0">
                  <c:v>27088</c:v>
                </c:pt>
                <c:pt idx="1">
                  <c:v>1294701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3D-4DBD-87AC-7FAC0A92F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15854784"/>
        <c:axId val="1348526223"/>
      </c:barChart>
      <c:catAx>
        <c:axId val="1915854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348526223"/>
        <c:crosses val="autoZero"/>
        <c:auto val="1"/>
        <c:lblAlgn val="ctr"/>
        <c:lblOffset val="100"/>
        <c:noMultiLvlLbl val="0"/>
      </c:catAx>
      <c:valAx>
        <c:axId val="1348526223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91585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Indicador 2 · O'Higgins vs. total nacional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Comparador!$J$12</c:f>
              <c:strCache>
                <c:ptCount val="1"/>
                <c:pt idx="0">
                  <c:v>Indicador 2 (num)</c:v>
                </c:pt>
              </c:strCache>
            </c:strRef>
          </c:tx>
          <c:spPr>
            <a:solidFill>
              <a:srgbClr val="5B8FA3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6B4D37"/>
                    </a:solidFill>
                    <a:latin typeface="Poppins"/>
                    <a:ea typeface="Poppins"/>
                    <a:cs typeface="Poppin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Comparador!$H$13:$H$14</c:f>
              <c:strCache>
                <c:ptCount val="2"/>
                <c:pt idx="0">
                  <c:v>O'Higgins</c:v>
                </c:pt>
                <c:pt idx="1">
                  <c:v>Total nacional</c:v>
                </c:pt>
              </c:strCache>
            </c:strRef>
          </c:cat>
          <c:val>
            <c:numRef>
              <c:f>Comparador!$M$13:$M$14</c:f>
              <c:numCache>
                <c:formatCode>#,##0.00</c:formatCode>
                <c:ptCount val="2"/>
                <c:pt idx="0">
                  <c:v>8.91</c:v>
                </c:pt>
                <c:pt idx="1">
                  <c:v>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09-4003-AC04-7110B294A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618863"/>
        <c:axId val="1164833231"/>
      </c:barChart>
      <c:catAx>
        <c:axId val="32761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164833231"/>
        <c:crosses val="autoZero"/>
        <c:auto val="1"/>
        <c:lblAlgn val="ctr"/>
        <c:lblOffset val="100"/>
        <c:noMultiLvlLbl val="1"/>
      </c:catAx>
      <c:valAx>
        <c:axId val="1164833231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327618863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Población por grupos etarios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'Nacional · Panel'!$M$3</c:f>
              <c:strCache>
                <c:ptCount val="1"/>
                <c:pt idx="0">
                  <c:v>Nacional</c:v>
                </c:pt>
              </c:strCache>
            </c:strRef>
          </c:tx>
          <c:spPr>
            <a:solidFill>
              <a:srgbClr val="9CBF7E"/>
            </a:solidFill>
            <a:ln>
              <a:noFill/>
            </a:ln>
            <a:effectLst/>
          </c:spPr>
          <c:invertIfNegative val="0"/>
          <c:cat>
            <c:strRef>
              <c:f>'Nacional · Panel'!$L$4:$L$6</c:f>
              <c:strCache>
                <c:ptCount val="3"/>
                <c:pt idx="0">
                  <c:v>0 a 14 años</c:v>
                </c:pt>
                <c:pt idx="1">
                  <c:v>15 a 64 años</c:v>
                </c:pt>
                <c:pt idx="2">
                  <c:v>65 años y más</c:v>
                </c:pt>
              </c:strCache>
            </c:strRef>
          </c:cat>
          <c:val>
            <c:numRef>
              <c:f>'Nacional · Panel'!$M$4:$M$6</c:f>
              <c:numCache>
                <c:formatCode>0.0%</c:formatCode>
                <c:ptCount val="3"/>
                <c:pt idx="0">
                  <c:v>0.18161011212328701</c:v>
                </c:pt>
                <c:pt idx="1">
                  <c:v>0.67605096127060804</c:v>
                </c:pt>
                <c:pt idx="2">
                  <c:v>0.142338926606104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5-4AF0-9410-94BC2327F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5901184"/>
        <c:axId val="1348658703"/>
      </c:barChart>
      <c:catAx>
        <c:axId val="191590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348658703"/>
        <c:crosses val="autoZero"/>
        <c:auto val="1"/>
        <c:lblAlgn val="ctr"/>
        <c:lblOffset val="100"/>
        <c:noMultiLvlLbl val="0"/>
      </c:catAx>
      <c:valAx>
        <c:axId val="1348658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91590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Tasa de desocupación 2015 - jun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'Nacional · Panel'!$M$9</c:f>
              <c:strCache>
                <c:ptCount val="1"/>
                <c:pt idx="0">
                  <c:v>Nacional</c:v>
                </c:pt>
              </c:strCache>
            </c:strRef>
          </c:tx>
          <c:spPr>
            <a:ln w="28575" cap="rnd">
              <a:solidFill>
                <a:srgbClr val="5F8F9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'Nacional · Panel'!$L$10:$L$19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2022</c:v>
                </c:pt>
                <c:pt idx="8">
                  <c:v>2023</c:v>
                </c:pt>
                <c:pt idx="9" formatCode="mmm\-yy">
                  <c:v>46174</c:v>
                </c:pt>
              </c:numCache>
            </c:numRef>
          </c:cat>
          <c:val>
            <c:numRef>
              <c:f>'Nacional · Panel'!$M$10:$M$19</c:f>
              <c:numCache>
                <c:formatCode>0.0%</c:formatCode>
                <c:ptCount val="10"/>
                <c:pt idx="0">
                  <c:v>6.3E-2</c:v>
                </c:pt>
                <c:pt idx="1">
                  <c:v>6.7000000000000004E-2</c:v>
                </c:pt>
                <c:pt idx="2">
                  <c:v>7.0000000000000007E-2</c:v>
                </c:pt>
                <c:pt idx="3">
                  <c:v>7.3999999999999996E-2</c:v>
                </c:pt>
                <c:pt idx="4">
                  <c:v>7.1999999999999995E-2</c:v>
                </c:pt>
                <c:pt idx="5">
                  <c:v>7.9000000000000001E-2</c:v>
                </c:pt>
                <c:pt idx="8">
                  <c:v>8.6999999999999994E-2</c:v>
                </c:pt>
                <c:pt idx="9">
                  <c:v>9.4E-2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84-4F1F-BB67-5688F7818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5758736"/>
        <c:axId val="1348648143"/>
      </c:lineChart>
      <c:catAx>
        <c:axId val="191575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348648143"/>
        <c:crosses val="autoZero"/>
        <c:auto val="1"/>
        <c:lblAlgn val="ctr"/>
        <c:lblOffset val="100"/>
        <c:noMultiLvlLbl val="0"/>
      </c:catAx>
      <c:valAx>
        <c:axId val="1348648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915758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PIB por sector (% del total)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'Nacional · Panel'!$M$22</c:f>
              <c:strCache>
                <c:ptCount val="1"/>
                <c:pt idx="0">
                  <c:v>% del PIB regional</c:v>
                </c:pt>
              </c:strCache>
            </c:strRef>
          </c:tx>
          <c:spPr>
            <a:solidFill>
              <a:srgbClr val="C4A85D"/>
            </a:solidFill>
            <a:ln>
              <a:noFill/>
            </a:ln>
            <a:effectLst/>
          </c:spPr>
          <c:invertIfNegative val="0"/>
          <c:cat>
            <c:strRef>
              <c:f>'Nacional · Panel'!$L$23:$L$35</c:f>
              <c:strCache>
                <c:ptCount val="13"/>
                <c:pt idx="0">
                  <c:v>Agropecuario-silvícola</c:v>
                </c:pt>
                <c:pt idx="1">
                  <c:v>Pesca</c:v>
                </c:pt>
                <c:pt idx="2">
                  <c:v>Minería</c:v>
                </c:pt>
                <c:pt idx="3">
                  <c:v>Industria manufacturera</c:v>
                </c:pt>
                <c:pt idx="4">
                  <c:v>Electricidad, gas, agua y gestión de desechos</c:v>
                </c:pt>
                <c:pt idx="5">
                  <c:v>Construcción</c:v>
                </c:pt>
                <c:pt idx="6">
                  <c:v>Comercio</c:v>
                </c:pt>
                <c:pt idx="7">
                  <c:v>Restaurantes y hoteles</c:v>
                </c:pt>
                <c:pt idx="8">
                  <c:v>Transporte, información y comunicaciones</c:v>
                </c:pt>
                <c:pt idx="9">
                  <c:v>Servicios financieros y empresariales</c:v>
                </c:pt>
                <c:pt idx="10">
                  <c:v>Servicios de vivienda e inmobiliarios</c:v>
                </c:pt>
                <c:pt idx="11">
                  <c:v>Servicios personales</c:v>
                </c:pt>
                <c:pt idx="12">
                  <c:v>Administración pública</c:v>
                </c:pt>
              </c:strCache>
            </c:strRef>
          </c:cat>
          <c:val>
            <c:numRef>
              <c:f>'Nacional · Panel'!$M$23:$M$35</c:f>
              <c:numCache>
                <c:formatCode>0.0%</c:formatCode>
                <c:ptCount val="13"/>
                <c:pt idx="0">
                  <c:v>3.6307064421299301E-2</c:v>
                </c:pt>
                <c:pt idx="1">
                  <c:v>7.74833567366071E-3</c:v>
                </c:pt>
                <c:pt idx="2">
                  <c:v>7.6437786016628095E-2</c:v>
                </c:pt>
                <c:pt idx="3">
                  <c:v>9.8849367101395094E-2</c:v>
                </c:pt>
                <c:pt idx="4">
                  <c:v>4.14288456293124E-2</c:v>
                </c:pt>
                <c:pt idx="5">
                  <c:v>6.3587873400074796E-2</c:v>
                </c:pt>
                <c:pt idx="6">
                  <c:v>0.105865298164443</c:v>
                </c:pt>
                <c:pt idx="7">
                  <c:v>2.0972027194940901E-2</c:v>
                </c:pt>
                <c:pt idx="8">
                  <c:v>0.105425855398075</c:v>
                </c:pt>
                <c:pt idx="9">
                  <c:v>0.15792158724706801</c:v>
                </c:pt>
                <c:pt idx="10">
                  <c:v>8.4938730566022497E-2</c:v>
                </c:pt>
                <c:pt idx="11">
                  <c:v>0.148511450767257</c:v>
                </c:pt>
                <c:pt idx="12">
                  <c:v>5.20057784198244E-2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4-4E03-BBA7-ABC8A7916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15815808"/>
        <c:axId val="1348482063"/>
      </c:barChart>
      <c:catAx>
        <c:axId val="191581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348482063"/>
        <c:crosses val="autoZero"/>
        <c:auto val="1"/>
        <c:lblAlgn val="ctr"/>
        <c:lblOffset val="100"/>
        <c:noMultiLvlLbl val="0"/>
      </c:catAx>
      <c:valAx>
        <c:axId val="1348482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91581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r>
              <a:rPr lang="en-US"/>
              <a:t>Indicadores sociales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6B4D37"/>
              </a:solidFill>
              <a:latin typeface="Poppins"/>
              <a:ea typeface="Poppins"/>
              <a:cs typeface="Poppin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'Nacional · Panel'!$M$38</c:f>
              <c:strCache>
                <c:ptCount val="1"/>
                <c:pt idx="0">
                  <c:v>Nacional</c:v>
                </c:pt>
              </c:strCache>
            </c:strRef>
          </c:tx>
          <c:spPr>
            <a:solidFill>
              <a:srgbClr val="7FAFA4"/>
            </a:solidFill>
            <a:ln>
              <a:noFill/>
            </a:ln>
            <a:effectLst/>
          </c:spPr>
          <c:invertIfNegative val="0"/>
          <c:cat>
            <c:strRef>
              <c:f>'Nacional · Panel'!$L$39:$L$44</c:f>
              <c:strCache>
                <c:ptCount val="6"/>
                <c:pt idx="0">
                  <c:v>Desocupación</c:v>
                </c:pt>
                <c:pt idx="1">
                  <c:v>Informalidad</c:v>
                </c:pt>
                <c:pt idx="2">
                  <c:v>Pobreza ingresos</c:v>
                </c:pt>
                <c:pt idx="3">
                  <c:v>Pobreza multidim.</c:v>
                </c:pt>
                <c:pt idx="4">
                  <c:v>Hacinamiento</c:v>
                </c:pt>
                <c:pt idx="5">
                  <c:v>Acceso a internet</c:v>
                </c:pt>
              </c:strCache>
            </c:strRef>
          </c:cat>
          <c:val>
            <c:numRef>
              <c:f>'Nacional · Panel'!$M$39:$M$44</c:f>
              <c:numCache>
                <c:formatCode>0.0%</c:formatCode>
                <c:ptCount val="6"/>
                <c:pt idx="0">
                  <c:v>9.4E-2</c:v>
                </c:pt>
                <c:pt idx="1">
                  <c:v>0.27</c:v>
                </c:pt>
                <c:pt idx="2">
                  <c:v>0.17299999999999999</c:v>
                </c:pt>
                <c:pt idx="3">
                  <c:v>0.17699999999999999</c:v>
                </c:pt>
                <c:pt idx="4">
                  <c:v>5.7000000000000002E-2</c:v>
                </c:pt>
                <c:pt idx="5">
                  <c:v>0.93200000000000005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8-4EE8-B571-38F4096E4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5960112"/>
        <c:axId val="1348501263"/>
      </c:barChart>
      <c:catAx>
        <c:axId val="191596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348501263"/>
        <c:crosses val="autoZero"/>
        <c:auto val="1"/>
        <c:lblAlgn val="ctr"/>
        <c:lblOffset val="100"/>
        <c:noMultiLvlLbl val="0"/>
      </c:catAx>
      <c:valAx>
        <c:axId val="134850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B4D37"/>
                </a:solidFill>
                <a:latin typeface="Poppins"/>
                <a:ea typeface="Poppins"/>
                <a:cs typeface="Poppins"/>
              </a:defRPr>
            </a:pPr>
            <a:endParaRPr lang="es-CL"/>
          </a:p>
        </c:txPr>
        <c:crossAx val="191596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9E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rgbClr val="6B4D37"/>
          </a:solidFill>
          <a:latin typeface="Poppins"/>
          <a:ea typeface="Poppins"/>
          <a:cs typeface="Poppin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36194</xdr:rowOff>
    </xdr:from>
    <xdr:to>
      <xdr:col>4</xdr:col>
      <xdr:colOff>245110</xdr:colOff>
      <xdr:row>54</xdr:row>
      <xdr:rowOff>118744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A07D2F-5260-46EB-82A6-85F193BF7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250190</xdr:colOff>
      <xdr:row>32</xdr:row>
      <xdr:rowOff>36194</xdr:rowOff>
    </xdr:from>
    <xdr:to>
      <xdr:col>10</xdr:col>
      <xdr:colOff>212090</xdr:colOff>
      <xdr:row>54</xdr:row>
      <xdr:rowOff>118744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4421870-3DCC-4805-A80D-615C22330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55</xdr:row>
      <xdr:rowOff>21589</xdr:rowOff>
    </xdr:from>
    <xdr:to>
      <xdr:col>4</xdr:col>
      <xdr:colOff>245110</xdr:colOff>
      <xdr:row>71</xdr:row>
      <xdr:rowOff>62864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C89F9C-634B-489C-A01C-CBBE1F85C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250190</xdr:colOff>
      <xdr:row>55</xdr:row>
      <xdr:rowOff>21589</xdr:rowOff>
    </xdr:from>
    <xdr:to>
      <xdr:col>10</xdr:col>
      <xdr:colOff>212090</xdr:colOff>
      <xdr:row>71</xdr:row>
      <xdr:rowOff>62864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6581D4B-50F1-403A-A000-F83511A97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891540</xdr:colOff>
      <xdr:row>35</xdr:row>
      <xdr:rowOff>175260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C887C2-9A75-4E42-9724-7E8086341E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6</xdr:col>
      <xdr:colOff>1</xdr:colOff>
      <xdr:row>55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FA3B400-3147-4A9D-B257-5C18A6DAC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70484</xdr:rowOff>
    </xdr:from>
    <xdr:to>
      <xdr:col>3</xdr:col>
      <xdr:colOff>1453515</xdr:colOff>
      <xdr:row>49</xdr:row>
      <xdr:rowOff>17144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FB4CEC5-65D8-4145-B095-5DDB002C5D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1457325</xdr:colOff>
      <xdr:row>29</xdr:row>
      <xdr:rowOff>70484</xdr:rowOff>
    </xdr:from>
    <xdr:to>
      <xdr:col>7</xdr:col>
      <xdr:colOff>1445895</xdr:colOff>
      <xdr:row>49</xdr:row>
      <xdr:rowOff>17144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D65336-B32A-490E-8EA2-DECE395E80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93345</xdr:rowOff>
    </xdr:from>
    <xdr:to>
      <xdr:col>3</xdr:col>
      <xdr:colOff>1453515</xdr:colOff>
      <xdr:row>68</xdr:row>
      <xdr:rowOff>129540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6EC0304-987A-4FD5-92F7-C7CE1922E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1457325</xdr:colOff>
      <xdr:row>49</xdr:row>
      <xdr:rowOff>93345</xdr:rowOff>
    </xdr:from>
    <xdr:to>
      <xdr:col>7</xdr:col>
      <xdr:colOff>1445895</xdr:colOff>
      <xdr:row>68</xdr:row>
      <xdr:rowOff>129540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4B1ADF-44DC-41DE-A0E8-579F6E5DD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43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7B6BA5-2074-44E0-9A47-E944ADEB166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ec4dceb-e9cb-4a32-bb3d-92161e3acc8a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9F00-622F-43FA-8DE4-2D1E22C33127}">
  <dimension ref="A1:D28"/>
  <sheetViews>
    <sheetView showGridLines="0" workbookViewId="0">
      <selection activeCell="A14" sqref="A14"/>
    </sheetView>
  </sheetViews>
  <sheetFormatPr defaultColWidth="11.42578125" defaultRowHeight="14.45"/>
  <cols>
    <col min="1" max="1" width="42.5703125" customWidth="1"/>
    <col min="2" max="2" width="77.7109375" customWidth="1"/>
    <col min="3" max="3" width="14.7109375" customWidth="1"/>
  </cols>
  <sheetData>
    <row r="1" spans="1:4" ht="18">
      <c r="A1" s="1"/>
      <c r="B1" s="2"/>
      <c r="C1" s="2"/>
      <c r="D1" s="2"/>
    </row>
    <row r="2" spans="1:4" ht="42.6">
      <c r="A2" s="3" t="s">
        <v>0</v>
      </c>
      <c r="B2" s="2"/>
      <c r="C2" s="2"/>
      <c r="D2" s="2"/>
    </row>
    <row r="3" spans="1:4" ht="6" customHeight="1">
      <c r="A3" s="2"/>
      <c r="B3" s="2"/>
      <c r="C3" s="2"/>
      <c r="D3" s="2"/>
    </row>
    <row r="4" spans="1:4" ht="22.15" customHeight="1">
      <c r="A4" s="4" t="s">
        <v>1</v>
      </c>
      <c r="B4" s="4" t="s">
        <v>2</v>
      </c>
      <c r="C4" s="4" t="s">
        <v>3</v>
      </c>
      <c r="D4" s="2"/>
    </row>
    <row r="5" spans="1:4" ht="16.899999999999999" customHeight="1">
      <c r="A5" s="5" t="s">
        <v>4</v>
      </c>
      <c r="B5" s="6" t="s">
        <v>5</v>
      </c>
      <c r="C5" s="7"/>
      <c r="D5" s="2"/>
    </row>
    <row r="6" spans="1:4" ht="16.899999999999999" customHeight="1">
      <c r="A6" s="5" t="s">
        <v>6</v>
      </c>
      <c r="B6" s="6" t="s">
        <v>7</v>
      </c>
      <c r="C6" s="7" t="s">
        <v>8</v>
      </c>
      <c r="D6" s="2"/>
    </row>
    <row r="7" spans="1:4" ht="16.899999999999999" customHeight="1">
      <c r="A7" s="5" t="s">
        <v>9</v>
      </c>
      <c r="B7" s="6" t="s">
        <v>10</v>
      </c>
      <c r="C7" s="7" t="s">
        <v>8</v>
      </c>
      <c r="D7" s="2"/>
    </row>
    <row r="8" spans="1:4" ht="16.899999999999999" customHeight="1">
      <c r="A8" s="5" t="s">
        <v>11</v>
      </c>
      <c r="B8" s="6" t="s">
        <v>12</v>
      </c>
      <c r="C8" s="7" t="s">
        <v>8</v>
      </c>
      <c r="D8" s="2"/>
    </row>
    <row r="9" spans="1:4" ht="16.899999999999999" customHeight="1">
      <c r="A9" s="5" t="s">
        <v>13</v>
      </c>
      <c r="B9" s="6" t="s">
        <v>14</v>
      </c>
      <c r="C9" s="7" t="s">
        <v>8</v>
      </c>
      <c r="D9" s="2"/>
    </row>
    <row r="10" spans="1:4" ht="20.45" customHeight="1">
      <c r="A10" s="5" t="s">
        <v>15</v>
      </c>
      <c r="B10" s="6" t="s">
        <v>16</v>
      </c>
      <c r="C10" s="7" t="s">
        <v>8</v>
      </c>
      <c r="D10" s="2"/>
    </row>
    <row r="11" spans="1:4" ht="16.899999999999999" customHeight="1">
      <c r="A11" s="5" t="s">
        <v>17</v>
      </c>
      <c r="B11" s="6" t="s">
        <v>18</v>
      </c>
      <c r="C11" s="7" t="s">
        <v>8</v>
      </c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</sheetData>
  <hyperlinks>
    <hyperlink ref="C8" location="'Comparador'!A1" display="abrir →" xr:uid="{EA1FF1BF-AAFB-48D0-B39D-3E88F6FA8595}"/>
    <hyperlink ref="C11" location="'Base Nacional y Regiones'!A1" display="abrir →" xr:uid="{3DBE50DD-7638-45E4-AA80-A69A8A453745}"/>
    <hyperlink ref="C9" location="'Nacional · Panel'!A1" display="abrir →" xr:uid="{93E9ABD1-D7B5-4BFE-B291-946D269705D0}"/>
    <hyperlink ref="C10" location="'Nacional'!A1" display="abrir →" xr:uid="{B3F49959-6D1A-4F0D-949E-8A8E548AD6F3}"/>
    <hyperlink ref="C6" location="'O''Higgins · Panel'!A1" display="abrir →" xr:uid="{43759D34-FB57-4E24-8892-33D5DA34B7E3}"/>
    <hyperlink ref="C7" location="'O''Higgins'!A1" display="abrir →" xr:uid="{E04859C1-49A5-4B3B-8FB7-9CCF0024A1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CF4F-7849-4266-909C-F558436315C7}">
  <dimension ref="A1:N113"/>
  <sheetViews>
    <sheetView showGridLines="0" workbookViewId="0">
      <selection activeCell="A20" sqref="A20:H21"/>
    </sheetView>
  </sheetViews>
  <sheetFormatPr defaultColWidth="11.42578125" defaultRowHeight="14.45"/>
  <cols>
    <col min="1" max="8" width="21.28515625" customWidth="1"/>
    <col min="9" max="11" width="3.7109375" customWidth="1"/>
  </cols>
  <sheetData>
    <row r="1" spans="1:10" ht="16.899999999999999" customHeight="1">
      <c r="A1" s="9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ht="42" customHeight="1">
      <c r="A2" s="133" t="s">
        <v>20</v>
      </c>
      <c r="B2" s="2"/>
      <c r="C2" s="2"/>
      <c r="D2" s="2"/>
      <c r="E2" s="2"/>
      <c r="F2" s="2"/>
      <c r="G2" s="2"/>
      <c r="H2" s="2"/>
      <c r="I2" s="2"/>
      <c r="J2" s="2"/>
    </row>
    <row r="3" spans="1:10" ht="3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9.899999999999999" customHeight="1">
      <c r="A4" s="134" t="s">
        <v>21</v>
      </c>
      <c r="B4" s="2"/>
      <c r="C4" s="2"/>
      <c r="D4" s="2"/>
      <c r="E4" s="2"/>
      <c r="F4" s="2"/>
      <c r="G4" s="89" t="s">
        <v>22</v>
      </c>
      <c r="H4" s="90"/>
      <c r="I4" s="2"/>
      <c r="J4" s="2"/>
    </row>
    <row r="5" spans="1:10" ht="18" customHeight="1">
      <c r="A5" s="16" t="s">
        <v>23</v>
      </c>
      <c r="B5" s="2"/>
      <c r="C5" s="2"/>
      <c r="D5" s="2"/>
      <c r="E5" s="2"/>
      <c r="F5" s="2"/>
      <c r="G5" s="2"/>
      <c r="H5" s="2"/>
      <c r="I5" s="2"/>
      <c r="J5" s="2"/>
    </row>
    <row r="6" spans="1:10" ht="25.15" customHeight="1">
      <c r="A6" s="92" t="s">
        <v>24</v>
      </c>
      <c r="B6" s="92"/>
      <c r="C6" s="92"/>
      <c r="D6" s="92"/>
      <c r="E6" s="92"/>
      <c r="F6" s="92"/>
      <c r="G6" s="92"/>
      <c r="H6" s="92"/>
      <c r="I6" s="2"/>
      <c r="J6" s="2"/>
    </row>
    <row r="7" spans="1:10" ht="18" customHeight="1">
      <c r="A7" s="151" t="s">
        <v>25</v>
      </c>
      <c r="B7" s="152"/>
      <c r="C7" s="151" t="s">
        <v>26</v>
      </c>
      <c r="D7" s="152"/>
      <c r="E7" s="151" t="s">
        <v>27</v>
      </c>
      <c r="F7" s="152"/>
      <c r="G7" s="151" t="s">
        <v>28</v>
      </c>
      <c r="H7" s="152"/>
      <c r="I7" s="2"/>
      <c r="J7" s="2"/>
    </row>
    <row r="8" spans="1:10" ht="21" customHeight="1">
      <c r="A8" s="153" t="str">
        <f>IFERROR(_xlfn.XLOOKUP("Capital regional",'O''Higgins'!$C$5:$C$433,'O''Higgins'!$F$5:$F$433),"")</f>
        <v>Rancagua</v>
      </c>
      <c r="B8" s="154"/>
      <c r="C8" s="153" t="str">
        <f>IFERROR(_xlfn.XLOOKUP("Gobernador(a) Regional",'O''Higgins'!$C$5:$C$433,'O''Higgins'!$F$5:$F$433),"")</f>
        <v>Pablo Silva Amaya (PS)</v>
      </c>
      <c r="D8" s="154"/>
      <c r="E8" s="153" t="str">
        <f>IFERROR(_xlfn.XLOOKUP("Delegado(a) Presidencial Regional",'O''Higgins'!$C$5:$C$433,'O''Higgins'!$F$5:$F$433),"")</f>
        <v>Susana Pinto</v>
      </c>
      <c r="F8" s="154"/>
      <c r="G8" s="155">
        <f>IFERROR(_xlfn.XLOOKUP("2ª vuelta 2025: Kast",'O''Higgins'!$C$5:$C$433,'O''Higgins'!$F$5:$F$433),"")</f>
        <v>0.60519999999999996</v>
      </c>
      <c r="H8" s="156"/>
      <c r="I8" s="2"/>
      <c r="J8" s="2"/>
    </row>
    <row r="9" spans="1:10" ht="31.9" customHeight="1">
      <c r="A9" s="92" t="s">
        <v>29</v>
      </c>
      <c r="B9" s="92"/>
      <c r="C9" s="92"/>
      <c r="D9" s="92"/>
      <c r="E9" s="92"/>
      <c r="F9" s="92"/>
      <c r="G9" s="92"/>
      <c r="H9" s="92"/>
      <c r="I9" s="2"/>
      <c r="J9" s="2"/>
    </row>
    <row r="10" spans="1:10" ht="18" customHeight="1">
      <c r="A10" s="151" t="s">
        <v>30</v>
      </c>
      <c r="B10" s="152"/>
      <c r="C10" s="151" t="s">
        <v>31</v>
      </c>
      <c r="D10" s="152"/>
      <c r="E10" s="151" t="s">
        <v>32</v>
      </c>
      <c r="F10" s="152"/>
      <c r="G10" s="151" t="s">
        <v>33</v>
      </c>
      <c r="H10" s="152"/>
      <c r="I10" s="2"/>
      <c r="J10" s="2"/>
    </row>
    <row r="11" spans="1:10" ht="28.15" customHeight="1">
      <c r="A11" s="157">
        <f>IFERROR(_xlfn.XLOOKUP("Población total",'O''Higgins'!$C$5:$C$433,'O''Higgins'!$F$5:$F$433),"")</f>
        <v>1033238</v>
      </c>
      <c r="B11" s="158"/>
      <c r="C11" s="159">
        <f>IFERROR(_xlfn.XLOOKUP("Tasa global de fecundidad (2025)",'O''Higgins'!$C$5:$C$433,'O''Higgins'!$F$5:$F$433),"")</f>
        <v>1.19</v>
      </c>
      <c r="D11" s="160"/>
      <c r="E11" s="161">
        <f>IFERROR(_xlfn.XLOOKUP("Población urbana (% del total regional)",'O''Higgins'!$C$5:$C$433,'O''Higgins'!$F$5:$F$433),"")</f>
        <v>0.74392792122944995</v>
      </c>
      <c r="F11" s="162"/>
      <c r="G11" s="161">
        <f>IFERROR(_xlfn.XLOOKUP("Población de 65 años y más (% del total regional)",'O''Higgins'!$C$5:$C$433,'O''Higgins'!$F$5:$F$433),"")</f>
        <v>0.15970860537456</v>
      </c>
      <c r="H11" s="162"/>
      <c r="I11" s="2"/>
      <c r="J11" s="2"/>
    </row>
    <row r="12" spans="1:10" ht="13.15" customHeight="1">
      <c r="A12" s="163" t="str">
        <f>IFERROR("% de la población del país: "&amp;TEXT(_xlfn.XLOOKUP("Población: % del total nacional",'O''Higgins'!$C$5:$C$433,'O''Higgins'!$F$5:$F$433),"0,0%"),"% de la población del país: s/i")</f>
        <v>% de la población del país: 5,1%</v>
      </c>
      <c r="B12" s="164"/>
      <c r="C12" s="163" t="str">
        <f>IF(IFERROR(_xlfn.XLOOKUP("Tasa global de fecundidad (2025)",'O''Higgins'!$C$5:$C$433,'O''Higgins'!$G$5:$G$433),"")="","País: s/i","País: "&amp;TEXT(IFERROR(_xlfn.XLOOKUP("Tasa global de fecundidad (2025)",'O''Higgins'!$C$5:$C$433,'O''Higgins'!$G$5:$G$433),""),"0,00"))</f>
        <v>País: 0,99</v>
      </c>
      <c r="D12" s="164"/>
      <c r="E12" s="163" t="str">
        <f>IF(IFERROR(_xlfn.XLOOKUP("Población urbana (% del total regional)",'O''Higgins'!$C$5:$C$433,'O''Higgins'!$G$5:$G$433),"")="","País: s/i","País: "&amp;TEXT(IFERROR(_xlfn.XLOOKUP("Población urbana (% del total regional)",'O''Higgins'!$C$5:$C$433,'O''Higgins'!$G$5:$G$433),""),"0,0%"))</f>
        <v>País: 87,8%</v>
      </c>
      <c r="F12" s="164"/>
      <c r="G12" s="163" t="str">
        <f>IF(IFERROR(_xlfn.XLOOKUP("Población de 65 años y más (% del total regional)",'O''Higgins'!$C$5:$C$433,'O''Higgins'!$G$5:$G$433),"")="","País: s/i","País: "&amp;TEXT(IFERROR(_xlfn.XLOOKUP("Población de 65 años y más (% del total regional)",'O''Higgins'!$C$5:$C$433,'O''Higgins'!$G$5:$G$433),""),"0,0%"))</f>
        <v>País: 14,2%</v>
      </c>
      <c r="H12" s="164"/>
      <c r="I12" s="2"/>
      <c r="J12" s="2"/>
    </row>
    <row r="13" spans="1:10" ht="18" customHeight="1">
      <c r="A13" s="151" t="s">
        <v>34</v>
      </c>
      <c r="B13" s="152"/>
      <c r="C13" s="151" t="s">
        <v>35</v>
      </c>
      <c r="D13" s="152"/>
      <c r="E13" s="151" t="s">
        <v>36</v>
      </c>
      <c r="F13" s="152"/>
      <c r="G13" s="151" t="s">
        <v>37</v>
      </c>
      <c r="H13" s="152"/>
      <c r="I13" s="2"/>
      <c r="J13" s="2"/>
    </row>
    <row r="14" spans="1:10" ht="28.15" customHeight="1">
      <c r="A14" s="161">
        <f>IFERROR(_xlfn.XLOOKUP("Tasa de desocupación, ambos sexos (jun-2026)",'O''Higgins'!$C$5:$C$433,'O''Higgins'!$F$5:$F$433),"")</f>
        <v>0.104</v>
      </c>
      <c r="B14" s="162"/>
      <c r="C14" s="161">
        <f>IFERROR(_xlfn.XLOOKUP("Tasa de ocupación informal, ambos sexos (jun-2026)",'O''Higgins'!$C$5:$C$433,'O''Higgins'!$F$5:$F$433),"")</f>
        <v>0.30299999999999999</v>
      </c>
      <c r="D14" s="162"/>
      <c r="E14" s="161">
        <f>IFERROR(_xlfn.XLOOKUP("Pobreza por ingresos (2024)",'O''Higgins'!$C$5:$C$433,'O''Higgins'!$F$5:$F$433),"")</f>
        <v>0.17899999999999999</v>
      </c>
      <c r="F14" s="162"/>
      <c r="G14" s="165">
        <f>IFERROR(_xlfn.XLOOKUP("Ingreso mediano mensual",'O''Higgins'!$C$5:$C$433,'O''Higgins'!$F$5:$F$433),"")</f>
        <v>600</v>
      </c>
      <c r="H14" s="166"/>
      <c r="I14" s="2"/>
      <c r="J14" s="2"/>
    </row>
    <row r="15" spans="1:10" ht="13.15" customHeight="1">
      <c r="A15" s="163" t="str">
        <f>IF(IFERROR(_xlfn.XLOOKUP("Tasa de desocupación, ambos sexos (jun-2026)",'O''Higgins'!$C$5:$C$433,'O''Higgins'!$G$5:$G$433),"")="","País: s/i","País: "&amp;TEXT(IFERROR(_xlfn.XLOOKUP("Tasa de desocupación, ambos sexos (jun-2026)",'O''Higgins'!$C$5:$C$433,'O''Higgins'!$G$5:$G$433),""),"0,0%"))</f>
        <v>País: 9,4%</v>
      </c>
      <c r="B15" s="164"/>
      <c r="C15" s="163" t="str">
        <f>IF(IFERROR(_xlfn.XLOOKUP("Tasa de ocupación informal, ambos sexos (jun-2026)",'O''Higgins'!$C$5:$C$433,'O''Higgins'!$G$5:$G$433),"")="","País: s/i","País: "&amp;TEXT(IFERROR(_xlfn.XLOOKUP("Tasa de ocupación informal, ambos sexos (jun-2026)",'O''Higgins'!$C$5:$C$433,'O''Higgins'!$G$5:$G$433),""),"0,0%"))</f>
        <v>País: 27,0%</v>
      </c>
      <c r="D15" s="164"/>
      <c r="E15" s="163" t="str">
        <f>IF(IFERROR(_xlfn.XLOOKUP("Pobreza por ingresos (2024)",'O''Higgins'!$C$5:$C$433,'O''Higgins'!$G$5:$G$433),"")="","País: s/i","País: "&amp;TEXT(IFERROR(_xlfn.XLOOKUP("Pobreza por ingresos (2024)",'O''Higgins'!$C$5:$C$433,'O''Higgins'!$G$5:$G$433),""),"0,0%"))</f>
        <v>País: 17,3%</v>
      </c>
      <c r="F15" s="164"/>
      <c r="G15" s="163" t="str">
        <f>IF(IFERROR(_xlfn.XLOOKUP("Ingreso mediano mensual",'O''Higgins'!$C$5:$C$433,'O''Higgins'!$G$5:$G$433),"")="","País: s/i","País: "&amp;TEXT(IFERROR(_xlfn.XLOOKUP("Ingreso mediano mensual",'O''Higgins'!$C$5:$C$433,'O''Higgins'!$G$5:$G$433),""),"$#.##0,0"))</f>
        <v>País: $680,0</v>
      </c>
      <c r="H15" s="164"/>
      <c r="I15" s="2"/>
      <c r="J15" s="2"/>
    </row>
    <row r="16" spans="1:10" ht="18" customHeight="1">
      <c r="A16" s="151" t="s">
        <v>38</v>
      </c>
      <c r="B16" s="152"/>
      <c r="C16" s="151" t="s">
        <v>39</v>
      </c>
      <c r="D16" s="152"/>
      <c r="E16" s="151" t="s">
        <v>40</v>
      </c>
      <c r="F16" s="152"/>
      <c r="G16" s="151" t="s">
        <v>41</v>
      </c>
      <c r="H16" s="152"/>
      <c r="I16" s="2"/>
      <c r="J16" s="2"/>
    </row>
    <row r="17" spans="1:10" ht="28.15" customHeight="1">
      <c r="A17" s="167">
        <f>IFERROR(_xlfn.XLOOKUP("PIB per cápita (2025)",'O''Higgins'!$C$5:$C$433,'O''Higgins'!$F$5:$F$433),"")</f>
        <v>14940</v>
      </c>
      <c r="B17" s="168"/>
      <c r="C17" s="169">
        <f>IFERROR(_xlfn.XLOOKUP("Tasa de homicidios (2025)",'O''Higgins'!$C$5:$C$433,'O''Higgins'!$F$5:$F$433),"")</f>
        <v>4.0999999999999996</v>
      </c>
      <c r="D17" s="170"/>
      <c r="E17" s="169">
        <f>IFERROR(_xlfn.XLOOKUP("Años promedio de escolaridad (18 años y más)",'O''Higgins'!$C$5:$C$433,'O''Higgins'!$F$5:$F$433),"")</f>
        <v>11.4</v>
      </c>
      <c r="F17" s="170"/>
      <c r="G17" s="171">
        <f>IFERROR(_xlfn.XLOOKUP("Índice de Desarrollo Humano, IDH (2023)",'O''Higgins'!$C$5:$C$433,'O''Higgins'!$F$5:$F$433),"")</f>
        <v>0.84599999999999997</v>
      </c>
      <c r="H17" s="172"/>
      <c r="I17" s="2"/>
      <c r="J17" s="2"/>
    </row>
    <row r="18" spans="1:10" ht="13.15" customHeight="1">
      <c r="A18" s="163" t="str">
        <f>IF(IFERROR(_xlfn.XLOOKUP("PIB per cápita (2025)",'O''Higgins'!$C$5:$C$433,'O''Higgins'!$G$5:$G$433),"")="","País: s/i","País: "&amp;TEXT(IFERROR(_xlfn.XLOOKUP("PIB per cápita (2025)",'O''Higgins'!$C$5:$C$433,'O''Higgins'!$G$5:$G$433),""),"$#.##0"))</f>
        <v>País: $17.680</v>
      </c>
      <c r="B18" s="164"/>
      <c r="C18" s="163" t="str">
        <f>IF(IFERROR(_xlfn.XLOOKUP("Tasa de homicidios (2025)",'O''Higgins'!$C$5:$C$433,'O''Higgins'!$G$5:$G$433),"")="","País: s/i","País: "&amp;TEXT(IFERROR(_xlfn.XLOOKUP("Tasa de homicidios (2025)",'O''Higgins'!$C$5:$C$433,'O''Higgins'!$G$5:$G$433),""),"0,0"))</f>
        <v>País: 5,4</v>
      </c>
      <c r="D18" s="164"/>
      <c r="E18" s="163" t="str">
        <f>IF(IFERROR(_xlfn.XLOOKUP("Años promedio de escolaridad (18 años y más)",'O''Higgins'!$C$5:$C$433,'O''Higgins'!$G$5:$G$433),"")="","País: s/i","País: "&amp;TEXT(IFERROR(_xlfn.XLOOKUP("Años promedio de escolaridad (18 años y más)",'O''Higgins'!$C$5:$C$433,'O''Higgins'!$G$5:$G$433),""),"0,0"))</f>
        <v>País: 12,1</v>
      </c>
      <c r="F18" s="164"/>
      <c r="G18" s="163" t="str">
        <f>IF(IFERROR(_xlfn.XLOOKUP("Índice de Desarrollo Humano, IDH (2023)",'O''Higgins'!$C$5:$C$433,'O''Higgins'!$G$5:$G$433),"")="","País: s/i","País: "&amp;TEXT(IFERROR(_xlfn.XLOOKUP("Índice de Desarrollo Humano, IDH (2023)",'O''Higgins'!$C$5:$C$433,'O''Higgins'!$G$5:$G$433),""),"0,000"))</f>
        <v>País: 0,878</v>
      </c>
      <c r="H18" s="164"/>
      <c r="I18" s="2"/>
      <c r="J18" s="2"/>
    </row>
    <row r="19" spans="1:10" ht="18" customHeight="1">
      <c r="A19" s="151" t="s">
        <v>42</v>
      </c>
      <c r="B19" s="152"/>
      <c r="C19" s="151" t="s">
        <v>43</v>
      </c>
      <c r="D19" s="152"/>
      <c r="E19" s="151" t="s">
        <v>44</v>
      </c>
      <c r="F19" s="152"/>
      <c r="G19" s="151" t="s">
        <v>45</v>
      </c>
      <c r="H19" s="152"/>
      <c r="I19" s="2"/>
      <c r="J19" s="2"/>
    </row>
    <row r="20" spans="1:10" ht="28.15" customHeight="1">
      <c r="A20" s="173">
        <f>IFERROR(_xlfn.XLOOKUP("Lista de espera por cada 10.000 hab.: total consulta + operación (junio 2025)",'O''Higgins'!$C$5:$C$433,'O''Higgins'!$F$5:$F$433),"")</f>
        <v>1284.2</v>
      </c>
      <c r="B20" s="168"/>
      <c r="C20" s="161">
        <f>IFERROR(_xlfn.XLOOKUP("Percepción de aumento de la delincuencia en el país (2025)",'O''Higgins'!$C$5:$C$433,'O''Higgins'!$F$5:$F$433),"")</f>
        <v>0.85599999999999998</v>
      </c>
      <c r="D20" s="170"/>
      <c r="E20" s="157">
        <f>IFERROR(_xlfn.XLOOKUP("PAES Matemática 1: promedio regional (2026)",'O''Higgins'!$C$5:$C$433,'O''Higgins'!$F$5:$F$433),"")</f>
        <v>630</v>
      </c>
      <c r="F20" s="170"/>
      <c r="G20" s="157">
        <f>IFERROR(_xlfn.XLOOKUP("Familias en campamentos (2024-2025)",'O''Higgins'!$C$5:$C$433,'O''Higgins'!$F$5:$F$433),"")</f>
        <v>2073</v>
      </c>
      <c r="H20" s="172"/>
      <c r="I20" s="2"/>
      <c r="J20" s="2"/>
    </row>
    <row r="21" spans="1:10" ht="13.15" customHeight="1">
      <c r="A21" s="163" t="str">
        <f>IF(IFERROR(_xlfn.XLOOKUP("Lista de espera por cada 10.000 hab.: total consulta + operación (junio 2025)",'O''Higgins'!$C$5:$C$433,'O''Higgins'!$G$5:$G$433),"")="","País: s/i","País: "&amp;TEXT(IFERROR(_xlfn.XLOOKUP("Lista de espera por cada 10.000 hab.: total consulta + operación (junio 2025)",'O''Higgins'!$C$5:$C$433,'O''Higgins'!$G$5:$G$433),""),"#.##0,0"))</f>
        <v>País: 1.287,8</v>
      </c>
      <c r="B21" s="164"/>
      <c r="C21" s="163" t="str">
        <f>IF(IFERROR(_xlfn.XLOOKUP("Percepción de aumento de la delincuencia en el país (2025)",'O''Higgins'!$C$5:$C$433,'O''Higgins'!$G$5:$G$433),"")="","País: s/i","País: "&amp;TEXT(IFERROR(_xlfn.XLOOKUP("Percepción de aumento de la delincuencia en el país (2025)",'O''Higgins'!$C$5:$C$433,'O''Higgins'!$G$5:$G$433),""),"0,0%"))</f>
        <v>País: 82,9%</v>
      </c>
      <c r="D21" s="164"/>
      <c r="E21" s="163" t="str">
        <f>IF(IFERROR(_xlfn.XLOOKUP("PAES Matemática 1: promedio regional (2026)",'O''Higgins'!$C$5:$C$433,'O''Higgins'!$G$5:$G$433),"")="","País: s/i","País: "&amp;TEXT(IFERROR(_xlfn.XLOOKUP("PAES Matemática 1: promedio regional (2026)",'O''Higgins'!$C$5:$C$433,'O''Higgins'!$G$5:$G$433),""),"#.##0"))</f>
        <v>País: 631</v>
      </c>
      <c r="F21" s="164"/>
      <c r="G21" s="163" t="str">
        <f>IFERROR("% del total nacional: "&amp;TEXT(_xlfn.XLOOKUP("Familias en campamentos (2024-2025): % del total nacional",'O''Higgins'!$C$5:$C$433,'O''Higgins'!$F$5:$F$433),"0,0%"),"% del total nacional: s/i")</f>
        <v>% del total nacional: 1,7%</v>
      </c>
      <c r="H21" s="164"/>
      <c r="I21" s="2"/>
      <c r="J21" s="2"/>
    </row>
    <row r="22" spans="1:10" ht="25.9" customHeight="1">
      <c r="A22" s="92" t="s">
        <v>46</v>
      </c>
      <c r="B22" s="92"/>
      <c r="C22" s="92"/>
      <c r="D22" s="92"/>
      <c r="E22" s="92"/>
      <c r="F22" s="92"/>
      <c r="G22" s="92"/>
      <c r="H22" s="92"/>
      <c r="I22" s="2"/>
      <c r="J22" s="2"/>
    </row>
    <row r="23" spans="1:10" ht="18" customHeight="1">
      <c r="A23" s="93" t="s">
        <v>47</v>
      </c>
      <c r="B23" s="93"/>
      <c r="C23" s="93"/>
      <c r="D23" s="94" t="s">
        <v>48</v>
      </c>
      <c r="E23" s="93" t="s">
        <v>47</v>
      </c>
      <c r="F23" s="93"/>
      <c r="G23" s="93"/>
      <c r="H23" s="94" t="s">
        <v>48</v>
      </c>
      <c r="I23" s="2"/>
      <c r="J23" s="2"/>
    </row>
    <row r="24" spans="1:10" ht="19.899999999999999" customHeight="1">
      <c r="A24" s="96" t="s">
        <v>49</v>
      </c>
      <c r="B24" s="97"/>
      <c r="C24" s="97"/>
      <c r="D24" s="98">
        <f>COUNTIF('O''Higgins'!$A$5:$A$433,A24)</f>
        <v>3</v>
      </c>
      <c r="E24" s="96" t="s">
        <v>50</v>
      </c>
      <c r="F24" s="97"/>
      <c r="G24" s="97"/>
      <c r="H24" s="98">
        <f>COUNTIF('O''Higgins'!$A$5:$A$433,E24)</f>
        <v>85</v>
      </c>
      <c r="I24" s="2"/>
      <c r="J24" s="2"/>
    </row>
    <row r="25" spans="1:10" ht="19.899999999999999" customHeight="1">
      <c r="A25" s="99" t="s">
        <v>51</v>
      </c>
      <c r="B25" s="6"/>
      <c r="C25" s="6"/>
      <c r="D25" s="100">
        <f>COUNTIF('O''Higgins'!$A$5:$A$433,A25)</f>
        <v>80</v>
      </c>
      <c r="E25" s="99" t="s">
        <v>52</v>
      </c>
      <c r="F25" s="6"/>
      <c r="G25" s="6"/>
      <c r="H25" s="100">
        <f>COUNTIF('O''Higgins'!$A$5:$A$433,E25)</f>
        <v>25</v>
      </c>
      <c r="I25" s="2"/>
      <c r="J25" s="2"/>
    </row>
    <row r="26" spans="1:10" ht="19.899999999999999" customHeight="1">
      <c r="A26" s="99" t="s">
        <v>53</v>
      </c>
      <c r="B26" s="6"/>
      <c r="C26" s="6"/>
      <c r="D26" s="100">
        <f>COUNTIF('O''Higgins'!$A$5:$A$433,A26)</f>
        <v>49</v>
      </c>
      <c r="E26" s="99" t="s">
        <v>54</v>
      </c>
      <c r="F26" s="6"/>
      <c r="G26" s="6"/>
      <c r="H26" s="100">
        <f>COUNTIF('O''Higgins'!$A$5:$A$433,E26)</f>
        <v>4</v>
      </c>
      <c r="I26" s="2"/>
      <c r="J26" s="2"/>
    </row>
    <row r="27" spans="1:10" ht="19.899999999999999" customHeight="1">
      <c r="A27" s="99" t="s">
        <v>55</v>
      </c>
      <c r="B27" s="6"/>
      <c r="C27" s="6"/>
      <c r="D27" s="100">
        <f>COUNTIF('O''Higgins'!$A$5:$A$433,A27)</f>
        <v>16</v>
      </c>
      <c r="E27" s="99" t="s">
        <v>56</v>
      </c>
      <c r="F27" s="6"/>
      <c r="G27" s="6"/>
      <c r="H27" s="100">
        <f>COUNTIF('O''Higgins'!$A$5:$A$433,E27)</f>
        <v>5</v>
      </c>
      <c r="I27" s="2"/>
      <c r="J27" s="2"/>
    </row>
    <row r="28" spans="1:10" ht="19.899999999999999" customHeight="1">
      <c r="A28" s="99" t="s">
        <v>57</v>
      </c>
      <c r="B28" s="6"/>
      <c r="C28" s="6"/>
      <c r="D28" s="100">
        <f>COUNTIF('O''Higgins'!$A$5:$A$433,A28)</f>
        <v>35</v>
      </c>
      <c r="E28" s="99" t="s">
        <v>58</v>
      </c>
      <c r="F28" s="6"/>
      <c r="G28" s="6"/>
      <c r="H28" s="100">
        <f>COUNTIF('O''Higgins'!$A$5:$A$433,E28)</f>
        <v>18</v>
      </c>
      <c r="I28" s="2"/>
      <c r="J28" s="2"/>
    </row>
    <row r="29" spans="1:10" ht="19.899999999999999" customHeight="1">
      <c r="A29" s="99" t="s">
        <v>59</v>
      </c>
      <c r="B29" s="6"/>
      <c r="C29" s="6"/>
      <c r="D29" s="100">
        <f>COUNTIF('O''Higgins'!$A$5:$A$433,A29)</f>
        <v>20</v>
      </c>
      <c r="E29" s="99" t="s">
        <v>60</v>
      </c>
      <c r="F29" s="6"/>
      <c r="G29" s="6"/>
      <c r="H29" s="100">
        <f>COUNTIF('O''Higgins'!$A$5:$A$433,E29)</f>
        <v>16</v>
      </c>
      <c r="I29" s="2"/>
      <c r="J29" s="2"/>
    </row>
    <row r="30" spans="1:10" ht="19.899999999999999" customHeight="1">
      <c r="A30" s="99" t="s">
        <v>61</v>
      </c>
      <c r="B30" s="6"/>
      <c r="C30" s="6"/>
      <c r="D30" s="100">
        <f>COUNTIF('O''Higgins'!$A$5:$A$433,A30)</f>
        <v>8</v>
      </c>
      <c r="E30" s="99" t="s">
        <v>62</v>
      </c>
      <c r="F30" s="6"/>
      <c r="G30" s="6"/>
      <c r="H30" s="100">
        <f>COUNTIF('O''Higgins'!$A$5:$A$433,E30)</f>
        <v>5</v>
      </c>
      <c r="I30" s="2"/>
      <c r="J30" s="2"/>
    </row>
    <row r="31" spans="1:10" ht="19.899999999999999" customHeight="1">
      <c r="A31" s="99" t="s">
        <v>63</v>
      </c>
      <c r="B31" s="6"/>
      <c r="C31" s="6"/>
      <c r="D31" s="100">
        <f>COUNTIF('O''Higgins'!$A$5:$A$433,A31)</f>
        <v>18</v>
      </c>
      <c r="E31" s="99" t="s">
        <v>64</v>
      </c>
      <c r="F31" s="6"/>
      <c r="G31" s="6"/>
      <c r="H31" s="100">
        <f>COUNTIF('O''Higgins'!$A$5:$A$433,E31)</f>
        <v>12</v>
      </c>
      <c r="I31" s="2"/>
      <c r="J31" s="2"/>
    </row>
    <row r="32" spans="1:10" ht="19.899999999999999" customHeight="1">
      <c r="A32" s="101" t="s">
        <v>65</v>
      </c>
      <c r="B32" s="8"/>
      <c r="C32" s="8"/>
      <c r="D32" s="102">
        <f>COUNTIF('O''Higgins'!$A$5:$A$433,A32)</f>
        <v>15</v>
      </c>
      <c r="E32" s="101" t="s">
        <v>66</v>
      </c>
      <c r="F32" s="8"/>
      <c r="G32" s="8"/>
      <c r="H32" s="102">
        <f>COUNTIF('O''Higgins'!$A$5:$A$433,E32)</f>
        <v>15</v>
      </c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4" ht="18">
      <c r="A63" s="2"/>
      <c r="B63" s="2"/>
      <c r="C63" s="2"/>
      <c r="D63" s="2"/>
      <c r="E63" s="2"/>
      <c r="F63" s="2"/>
      <c r="G63" s="2"/>
      <c r="H63" s="2"/>
      <c r="I63" s="2"/>
      <c r="J63" s="2"/>
      <c r="L63" s="88" t="s">
        <v>67</v>
      </c>
      <c r="M63" s="88"/>
      <c r="N63" s="88"/>
    </row>
    <row r="64" spans="1:14" ht="18">
      <c r="A64" s="2"/>
      <c r="B64" s="2"/>
      <c r="C64" s="2"/>
      <c r="D64" s="2"/>
      <c r="E64" s="2"/>
      <c r="F64" s="2"/>
      <c r="G64" s="2"/>
      <c r="H64" s="2"/>
      <c r="I64" s="2"/>
      <c r="J64" s="2"/>
      <c r="L64" s="88" t="s">
        <v>68</v>
      </c>
      <c r="M64" s="88" t="s">
        <v>9</v>
      </c>
      <c r="N64" s="88" t="s">
        <v>69</v>
      </c>
    </row>
    <row r="65" spans="1:14" ht="18">
      <c r="A65" s="2"/>
      <c r="B65" s="2"/>
      <c r="C65" s="2"/>
      <c r="D65" s="2"/>
      <c r="E65" s="2"/>
      <c r="F65" s="2"/>
      <c r="G65" s="2"/>
      <c r="H65" s="2"/>
      <c r="I65" s="2"/>
      <c r="J65" s="2"/>
      <c r="L65" s="88" t="s">
        <v>70</v>
      </c>
      <c r="M65" s="91">
        <f>IFERROR(_xlfn.XLOOKUP("Población de 0 a 14 años (% del total regional)",'O''Higgins'!$C$5:$C$433,'O''Higgins'!$F$5:$F$433),"")</f>
        <v>0.18251361254619</v>
      </c>
      <c r="N65" s="91">
        <f>IFERROR(_xlfn.XLOOKUP("Población de 0 a 14 años (% del total regional)",'O''Higgins'!$C$5:$C$433,'O''Higgins'!$G$5:$G$433),"")</f>
        <v>0.18161011212328701</v>
      </c>
    </row>
    <row r="66" spans="1:14" ht="18">
      <c r="A66" s="2"/>
      <c r="B66" s="2"/>
      <c r="C66" s="2"/>
      <c r="D66" s="2"/>
      <c r="E66" s="2"/>
      <c r="F66" s="2"/>
      <c r="G66" s="2"/>
      <c r="H66" s="2"/>
      <c r="I66" s="2"/>
      <c r="J66" s="2"/>
      <c r="L66" s="88" t="s">
        <v>71</v>
      </c>
      <c r="M66" s="91">
        <f>IFERROR(_xlfn.XLOOKUP("Población de 15 a 64 años (% del total regional)",'O''Higgins'!$C$5:$C$433,'O''Higgins'!$F$5:$F$433),"")</f>
        <v>0.65777778207924997</v>
      </c>
      <c r="N66" s="91">
        <f>IFERROR(_xlfn.XLOOKUP("Población de 15 a 64 años (% del total regional)",'O''Higgins'!$C$5:$C$433,'O''Higgins'!$G$5:$G$433),"")</f>
        <v>0.67605096127060804</v>
      </c>
    </row>
    <row r="67" spans="1:14" ht="18">
      <c r="A67" s="2"/>
      <c r="B67" s="2"/>
      <c r="C67" s="2"/>
      <c r="D67" s="2"/>
      <c r="E67" s="2"/>
      <c r="F67" s="2"/>
      <c r="G67" s="2"/>
      <c r="H67" s="2"/>
      <c r="I67" s="2"/>
      <c r="J67" s="2"/>
      <c r="L67" s="88" t="s">
        <v>72</v>
      </c>
      <c r="M67" s="91">
        <f>IFERROR(_xlfn.XLOOKUP("Población de 65 años y más (% del total regional)",'O''Higgins'!$C$5:$C$433,'O''Higgins'!$F$5:$F$433),"")</f>
        <v>0.15970860537456</v>
      </c>
      <c r="N67" s="91">
        <f>IFERROR(_xlfn.XLOOKUP("Población de 65 años y más (% del total regional)",'O''Higgins'!$C$5:$C$433,'O''Higgins'!$G$5:$G$433),"")</f>
        <v>0.142338926606104</v>
      </c>
    </row>
    <row r="68" spans="1:14" ht="18">
      <c r="A68" s="2"/>
      <c r="B68" s="2"/>
      <c r="C68" s="2"/>
      <c r="D68" s="2"/>
      <c r="E68" s="2"/>
      <c r="F68" s="2"/>
      <c r="G68" s="2"/>
      <c r="H68" s="2"/>
      <c r="I68" s="2"/>
      <c r="J68" s="2"/>
      <c r="L68" s="88"/>
      <c r="M68" s="88"/>
      <c r="N68" s="88"/>
    </row>
    <row r="69" spans="1:14" ht="18">
      <c r="A69" s="2"/>
      <c r="B69" s="2"/>
      <c r="C69" s="2"/>
      <c r="D69" s="2"/>
      <c r="E69" s="2"/>
      <c r="F69" s="2"/>
      <c r="G69" s="2"/>
      <c r="H69" s="2"/>
      <c r="I69" s="2"/>
      <c r="J69" s="2"/>
      <c r="L69" s="88"/>
      <c r="M69" s="88"/>
      <c r="N69" s="88"/>
    </row>
    <row r="70" spans="1:14" ht="18">
      <c r="A70" s="2"/>
      <c r="B70" s="2"/>
      <c r="C70" s="2"/>
      <c r="D70" s="2"/>
      <c r="E70" s="2"/>
      <c r="F70" s="2"/>
      <c r="G70" s="2"/>
      <c r="H70" s="2"/>
      <c r="I70" s="2"/>
      <c r="J70" s="2"/>
      <c r="L70" s="88" t="s">
        <v>73</v>
      </c>
      <c r="M70" s="88" t="s">
        <v>9</v>
      </c>
      <c r="N70" s="88" t="s">
        <v>69</v>
      </c>
    </row>
    <row r="71" spans="1:14" ht="18">
      <c r="A71" s="2"/>
      <c r="B71" s="2"/>
      <c r="C71" s="2"/>
      <c r="D71" s="2"/>
      <c r="E71" s="2"/>
      <c r="F71" s="2"/>
      <c r="G71" s="2"/>
      <c r="H71" s="2"/>
      <c r="I71" s="2"/>
      <c r="J71" s="2"/>
      <c r="L71" s="88">
        <v>2015</v>
      </c>
      <c r="M71" s="91">
        <f>IFERROR(_xlfn.XLOOKUP("Tasa de desocupación, ambos sexos (2015)",'O''Higgins'!$C$5:$C$433,'O''Higgins'!$F$5:$F$433),"")</f>
        <v>5.7000000000000002E-2</v>
      </c>
      <c r="N71" s="91">
        <f>IFERROR(_xlfn.XLOOKUP("Tasa de desocupación, ambos sexos (2015)",'O''Higgins'!$C$5:$C$433,'O''Higgins'!$G$5:$G$433),"")</f>
        <v>6.3E-2</v>
      </c>
    </row>
    <row r="72" spans="1:14" ht="18">
      <c r="A72" s="2"/>
      <c r="B72" s="2"/>
      <c r="C72" s="2"/>
      <c r="D72" s="2"/>
      <c r="E72" s="2"/>
      <c r="F72" s="2"/>
      <c r="G72" s="2"/>
      <c r="H72" s="2"/>
      <c r="I72" s="2"/>
      <c r="J72" s="2"/>
      <c r="L72" s="88">
        <v>2016</v>
      </c>
      <c r="M72" s="91">
        <f>IFERROR(_xlfn.XLOOKUP("Tasa de desocupación, ambos sexos (2016)",'O''Higgins'!$C$5:$C$433,'O''Higgins'!$F$5:$F$433),"")</f>
        <v>6.5000000000000002E-2</v>
      </c>
      <c r="N72" s="91">
        <f>IFERROR(_xlfn.XLOOKUP("Tasa de desocupación, ambos sexos (2016)",'O''Higgins'!$C$5:$C$433,'O''Higgins'!$G$5:$G$433),"")</f>
        <v>6.7000000000000004E-2</v>
      </c>
    </row>
    <row r="73" spans="1:14" ht="18">
      <c r="A73" s="2"/>
      <c r="B73" s="2"/>
      <c r="C73" s="2"/>
      <c r="D73" s="2"/>
      <c r="E73" s="2"/>
      <c r="F73" s="2"/>
      <c r="G73" s="2"/>
      <c r="H73" s="2"/>
      <c r="I73" s="2"/>
      <c r="J73" s="2"/>
      <c r="L73" s="88">
        <v>2017</v>
      </c>
      <c r="M73" s="91">
        <f>IFERROR(_xlfn.XLOOKUP("Tasa de desocupación, ambos sexos (2017)",'O''Higgins'!$C$5:$C$433,'O''Higgins'!$F$5:$F$433),"")</f>
        <v>6.8000000000000005E-2</v>
      </c>
      <c r="N73" s="91">
        <f>IFERROR(_xlfn.XLOOKUP("Tasa de desocupación, ambos sexos (2017)",'O''Higgins'!$C$5:$C$433,'O''Higgins'!$G$5:$G$433),"")</f>
        <v>7.0000000000000007E-2</v>
      </c>
    </row>
    <row r="74" spans="1:14" ht="18">
      <c r="A74" s="2"/>
      <c r="B74" s="2"/>
      <c r="C74" s="2"/>
      <c r="D74" s="2"/>
      <c r="E74" s="2"/>
      <c r="F74" s="2"/>
      <c r="G74" s="2"/>
      <c r="H74" s="2"/>
      <c r="I74" s="2"/>
      <c r="J74" s="2"/>
      <c r="L74" s="88">
        <v>2018</v>
      </c>
      <c r="M74" s="91">
        <f>IFERROR(_xlfn.XLOOKUP("Tasa de desocupación, ambos sexos (2018)",'O''Higgins'!$C$5:$C$433,'O''Higgins'!$F$5:$F$433),"")</f>
        <v>7.5999999999999998E-2</v>
      </c>
      <c r="N74" s="91">
        <f>IFERROR(_xlfn.XLOOKUP("Tasa de desocupación, ambos sexos (2018)",'O''Higgins'!$C$5:$C$433,'O''Higgins'!$G$5:$G$433),"")</f>
        <v>7.3999999999999996E-2</v>
      </c>
    </row>
    <row r="75" spans="1:14" ht="18">
      <c r="A75" s="2"/>
      <c r="B75" s="2"/>
      <c r="C75" s="2"/>
      <c r="D75" s="2"/>
      <c r="E75" s="2"/>
      <c r="F75" s="2"/>
      <c r="G75" s="2"/>
      <c r="H75" s="2"/>
      <c r="I75" s="2"/>
      <c r="J75" s="2"/>
      <c r="L75" s="88">
        <v>2019</v>
      </c>
      <c r="M75" s="91">
        <f>IFERROR(_xlfn.XLOOKUP("Tasa de desocupación, ambos sexos (2019)",'O''Higgins'!$C$5:$C$433,'O''Higgins'!$F$5:$F$433),"")</f>
        <v>7.6999999999999999E-2</v>
      </c>
      <c r="N75" s="91">
        <f>IFERROR(_xlfn.XLOOKUP("Tasa de desocupación, ambos sexos (2019)",'O''Higgins'!$C$5:$C$433,'O''Higgins'!$G$5:$G$433),"")</f>
        <v>7.1999999999999995E-2</v>
      </c>
    </row>
    <row r="76" spans="1:14" ht="18">
      <c r="A76" s="2"/>
      <c r="B76" s="2"/>
      <c r="C76" s="2"/>
      <c r="D76" s="2"/>
      <c r="E76" s="2"/>
      <c r="F76" s="2"/>
      <c r="G76" s="2"/>
      <c r="H76" s="2"/>
      <c r="I76" s="2"/>
      <c r="J76" s="2"/>
      <c r="L76" s="88">
        <v>2020</v>
      </c>
      <c r="M76" s="91">
        <f>IFERROR(_xlfn.XLOOKUP("Tasa de desocupación, ambos sexos (2020)",'O''Higgins'!$C$5:$C$433,'O''Higgins'!$F$5:$F$433),"")</f>
        <v>0.108</v>
      </c>
      <c r="N76" s="91">
        <f>IFERROR(_xlfn.XLOOKUP("Tasa de desocupación, ambos sexos (2020)",'O''Higgins'!$C$5:$C$433,'O''Higgins'!$G$5:$G$433),"")</f>
        <v>0.105</v>
      </c>
    </row>
    <row r="77" spans="1:14" ht="18">
      <c r="A77" s="2"/>
      <c r="B77" s="2"/>
      <c r="C77" s="2"/>
      <c r="D77" s="2"/>
      <c r="E77" s="2"/>
      <c r="F77" s="2"/>
      <c r="G77" s="2"/>
      <c r="H77" s="2"/>
      <c r="I77" s="2"/>
      <c r="J77" s="2"/>
      <c r="L77" s="88">
        <v>2021</v>
      </c>
      <c r="M77" s="91">
        <f>IFERROR(_xlfn.XLOOKUP("Tasa de desocupación, ambos sexos (2021)",'O''Higgins'!$C$5:$C$433,'O''Higgins'!$F$5:$F$433),"")</f>
        <v>8.7999999999999995E-2</v>
      </c>
      <c r="N77" s="91">
        <f>IFERROR(_xlfn.XLOOKUP("Tasa de desocupación, ambos sexos (2021)",'O''Higgins'!$C$5:$C$433,'O''Higgins'!$G$5:$G$433),"")</f>
        <v>8.7999999999999995E-2</v>
      </c>
    </row>
    <row r="78" spans="1:14" ht="18">
      <c r="A78" s="2"/>
      <c r="B78" s="2"/>
      <c r="C78" s="2"/>
      <c r="D78" s="2"/>
      <c r="E78" s="2"/>
      <c r="F78" s="2"/>
      <c r="G78" s="2"/>
      <c r="H78" s="2"/>
      <c r="I78" s="2"/>
      <c r="J78" s="2"/>
      <c r="L78" s="88">
        <v>2022</v>
      </c>
      <c r="M78" s="91">
        <f>IFERROR(_xlfn.XLOOKUP("Tasa de desocupación, ambos sexos (2022)",'O''Higgins'!$C$5:$C$433,'O''Higgins'!$F$5:$F$433),"")</f>
        <v>7.0000000000000007E-2</v>
      </c>
      <c r="N78" s="91">
        <f>IFERROR(_xlfn.XLOOKUP("Tasa de desocupación, ambos sexos (2022)",'O''Higgins'!$C$5:$C$433,'O''Higgins'!$G$5:$G$433),"")</f>
        <v>7.9000000000000001E-2</v>
      </c>
    </row>
    <row r="79" spans="1:14" ht="18">
      <c r="A79" s="2"/>
      <c r="B79" s="2"/>
      <c r="C79" s="2"/>
      <c r="D79" s="2"/>
      <c r="E79" s="2"/>
      <c r="F79" s="2"/>
      <c r="G79" s="2"/>
      <c r="H79" s="2"/>
      <c r="I79" s="2"/>
      <c r="J79" s="2"/>
      <c r="L79" s="88">
        <v>2023</v>
      </c>
      <c r="M79" s="91">
        <f>IFERROR(_xlfn.XLOOKUP("Tasa de desocupación, ambos sexos (2023)",'O''Higgins'!$C$5:$C$433,'O''Higgins'!$F$5:$F$433),"")</f>
        <v>8.5999999999999993E-2</v>
      </c>
      <c r="N79" s="91">
        <f>IFERROR(_xlfn.XLOOKUP("Tasa de desocupación, ambos sexos (2023)",'O''Higgins'!$C$5:$C$433,'O''Higgins'!$G$5:$G$433),"")</f>
        <v>8.6999999999999994E-2</v>
      </c>
    </row>
    <row r="80" spans="1:14" ht="18">
      <c r="A80" s="2"/>
      <c r="B80" s="2"/>
      <c r="C80" s="2"/>
      <c r="D80" s="2"/>
      <c r="E80" s="2"/>
      <c r="F80" s="2"/>
      <c r="G80" s="2"/>
      <c r="H80" s="2"/>
      <c r="I80" s="2"/>
      <c r="J80" s="2"/>
      <c r="L80" s="88">
        <v>2024</v>
      </c>
      <c r="M80" s="91">
        <f>IFERROR(_xlfn.XLOOKUP("Tasa de desocupación, ambos sexos (2024)",'O''Higgins'!$C$5:$C$433,'O''Higgins'!$F$5:$F$433),"")</f>
        <v>8.6999999999999994E-2</v>
      </c>
      <c r="N80" s="91">
        <f>IFERROR(_xlfn.XLOOKUP("Tasa de desocupación, ambos sexos (2024)",'O''Higgins'!$C$5:$C$433,'O''Higgins'!$G$5:$G$433),"")</f>
        <v>8.5000000000000006E-2</v>
      </c>
    </row>
    <row r="81" spans="1:14" ht="18">
      <c r="A81" s="2"/>
      <c r="B81" s="2"/>
      <c r="C81" s="2"/>
      <c r="D81" s="2"/>
      <c r="E81" s="2"/>
      <c r="F81" s="2"/>
      <c r="G81" s="2"/>
      <c r="H81" s="2"/>
      <c r="I81" s="2"/>
      <c r="J81" s="2"/>
      <c r="L81" s="88">
        <v>2025</v>
      </c>
      <c r="M81" s="91">
        <f>IFERROR(_xlfn.XLOOKUP("Tasa de desocupación, ambos sexos (2025)",'O''Higgins'!$C$5:$C$433,'O''Higgins'!$F$5:$F$433),"")</f>
        <v>8.3000000000000004E-2</v>
      </c>
      <c r="N81" s="91">
        <f>IFERROR(_xlfn.XLOOKUP("Tasa de desocupación, ambos sexos (2025)",'O''Higgins'!$C$5:$C$433,'O''Higgins'!$G$5:$G$433),"")</f>
        <v>8.5999999999999993E-2</v>
      </c>
    </row>
    <row r="82" spans="1:14" ht="18">
      <c r="A82" s="2"/>
      <c r="B82" s="2"/>
      <c r="C82" s="2"/>
      <c r="D82" s="2"/>
      <c r="E82" s="2"/>
      <c r="F82" s="2"/>
      <c r="G82" s="2"/>
      <c r="H82" s="2"/>
      <c r="I82" s="2"/>
      <c r="J82" s="2"/>
      <c r="L82" s="95">
        <v>46174</v>
      </c>
      <c r="M82" s="91">
        <f>IFERROR(_xlfn.XLOOKUP("Tasa de desocupación, ambos sexos (jun-2026)",'O''Higgins'!$C$5:$C$433,'O''Higgins'!$F$5:$F$433),"")</f>
        <v>0.104</v>
      </c>
      <c r="N82" s="91">
        <f>IFERROR(_xlfn.XLOOKUP("Tasa de desocupación, ambos sexos (jun-2026)",'O''Higgins'!$C$5:$C$433,'O''Higgins'!$G$5:$G$433),"")</f>
        <v>9.4E-2</v>
      </c>
    </row>
    <row r="83" spans="1:14" ht="18">
      <c r="A83" s="2"/>
      <c r="B83" s="2"/>
      <c r="C83" s="2"/>
      <c r="D83" s="2"/>
      <c r="E83" s="2"/>
      <c r="F83" s="2"/>
      <c r="G83" s="2"/>
      <c r="H83" s="2"/>
      <c r="I83" s="2"/>
      <c r="J83" s="2"/>
      <c r="L83" s="88"/>
      <c r="M83" s="88"/>
      <c r="N83" s="88"/>
    </row>
    <row r="84" spans="1:14" ht="18">
      <c r="A84" s="2"/>
      <c r="B84" s="2"/>
      <c r="C84" s="2"/>
      <c r="D84" s="2"/>
      <c r="E84" s="2"/>
      <c r="F84" s="2"/>
      <c r="G84" s="2"/>
      <c r="H84" s="2"/>
      <c r="I84" s="2"/>
      <c r="J84" s="2"/>
      <c r="L84" s="88"/>
      <c r="M84" s="88"/>
      <c r="N84" s="88"/>
    </row>
    <row r="85" spans="1:14" ht="18">
      <c r="A85" s="2"/>
      <c r="B85" s="2"/>
      <c r="C85" s="2"/>
      <c r="D85" s="2"/>
      <c r="E85" s="2"/>
      <c r="F85" s="2"/>
      <c r="G85" s="2"/>
      <c r="H85" s="2"/>
      <c r="I85" s="2"/>
      <c r="J85" s="2"/>
      <c r="L85" s="88" t="s">
        <v>74</v>
      </c>
      <c r="M85" s="88" t="s">
        <v>75</v>
      </c>
      <c r="N85" s="88"/>
    </row>
    <row r="86" spans="1:14" ht="18">
      <c r="A86" s="2"/>
      <c r="B86" s="2"/>
      <c r="C86" s="2"/>
      <c r="D86" s="2"/>
      <c r="E86" s="2"/>
      <c r="F86" s="2"/>
      <c r="G86" s="2"/>
      <c r="H86" s="2"/>
      <c r="I86" s="2"/>
      <c r="J86" s="2"/>
      <c r="L86" s="88" t="s">
        <v>76</v>
      </c>
      <c r="M86" s="91">
        <f>IFERROR(_xlfn.XLOOKUP("PIB Agropecuario-silvícola: % del total regional (2025)",'O''Higgins'!$C$5:$C$433,'O''Higgins'!$F$5:$F$433),"")</f>
        <v>0.17125617114646199</v>
      </c>
      <c r="N86" s="88"/>
    </row>
    <row r="87" spans="1:14" ht="18">
      <c r="A87" s="2"/>
      <c r="B87" s="2"/>
      <c r="C87" s="2"/>
      <c r="D87" s="2"/>
      <c r="E87" s="2"/>
      <c r="F87" s="2"/>
      <c r="G87" s="2"/>
      <c r="H87" s="2"/>
      <c r="I87" s="2"/>
      <c r="J87" s="2"/>
      <c r="L87" s="88" t="s">
        <v>66</v>
      </c>
      <c r="M87" s="91">
        <f>IFERROR(_xlfn.XLOOKUP("PIB Pesca: % del total regional (2025)",'O''Higgins'!$C$5:$C$433,'O''Higgins'!$F$5:$F$433),"")</f>
        <v>5.4854635216675801E-4</v>
      </c>
      <c r="N87" s="88"/>
    </row>
    <row r="88" spans="1:14" ht="18">
      <c r="A88" s="2"/>
      <c r="B88" s="2"/>
      <c r="C88" s="2"/>
      <c r="D88" s="2"/>
      <c r="E88" s="2"/>
      <c r="F88" s="2"/>
      <c r="G88" s="2"/>
      <c r="H88" s="2"/>
      <c r="I88" s="2"/>
      <c r="J88" s="2"/>
      <c r="L88" s="88" t="s">
        <v>77</v>
      </c>
      <c r="M88" s="91">
        <f>IFERROR(_xlfn.XLOOKUP("PIB Minería: % del total regional (2025)",'O''Higgins'!$C$5:$C$433,'O''Higgins'!$F$5:$F$433),"")</f>
        <v>8.6121777290181001E-2</v>
      </c>
      <c r="N88" s="88"/>
    </row>
    <row r="89" spans="1:14" ht="18">
      <c r="A89" s="2"/>
      <c r="B89" s="2"/>
      <c r="C89" s="2"/>
      <c r="D89" s="2"/>
      <c r="E89" s="2"/>
      <c r="F89" s="2"/>
      <c r="G89" s="2"/>
      <c r="H89" s="2"/>
      <c r="I89" s="2"/>
      <c r="J89" s="2"/>
      <c r="L89" s="88" t="s">
        <v>78</v>
      </c>
      <c r="M89" s="91">
        <f>IFERROR(_xlfn.XLOOKUP("PIB Industria manufacturera: % del total regional (2025)",'O''Higgins'!$C$5:$C$433,'O''Higgins'!$F$5:$F$433),"")</f>
        <v>9.6544157981349396E-2</v>
      </c>
      <c r="N89" s="88"/>
    </row>
    <row r="90" spans="1:14" ht="18">
      <c r="A90" s="2"/>
      <c r="B90" s="2"/>
      <c r="C90" s="2"/>
      <c r="D90" s="2"/>
      <c r="E90" s="2"/>
      <c r="F90" s="2"/>
      <c r="G90" s="2"/>
      <c r="H90" s="2"/>
      <c r="I90" s="2"/>
      <c r="J90" s="2"/>
      <c r="L90" s="88" t="s">
        <v>79</v>
      </c>
      <c r="M90" s="91">
        <f>IFERROR(_xlfn.XLOOKUP("PIB Electricidad, gas, agua y gestión de desechos: % del total regional (2025)",'O''Higgins'!$C$5:$C$433,'O''Higgins'!$F$5:$F$433),"")</f>
        <v>3.8946791003839798E-2</v>
      </c>
      <c r="N90" s="88"/>
    </row>
    <row r="91" spans="1:14" ht="18">
      <c r="A91" s="2"/>
      <c r="B91" s="2"/>
      <c r="C91" s="2"/>
      <c r="D91" s="2"/>
      <c r="E91" s="2"/>
      <c r="F91" s="2"/>
      <c r="G91" s="2"/>
      <c r="H91" s="2"/>
      <c r="I91" s="2"/>
      <c r="J91" s="2"/>
      <c r="L91" s="88" t="s">
        <v>80</v>
      </c>
      <c r="M91" s="91">
        <f>IFERROR(_xlfn.XLOOKUP("PIB Construcción: % del total regional (2025)",'O''Higgins'!$C$5:$C$433,'O''Higgins'!$F$5:$F$433),"")</f>
        <v>6.4947888096544198E-2</v>
      </c>
      <c r="N91" s="88"/>
    </row>
    <row r="92" spans="1:14" ht="18">
      <c r="A92" s="2"/>
      <c r="B92" s="2"/>
      <c r="C92" s="2"/>
      <c r="D92" s="2"/>
      <c r="E92" s="2"/>
      <c r="F92" s="2"/>
      <c r="G92" s="2"/>
      <c r="H92" s="2"/>
      <c r="I92" s="2"/>
      <c r="J92" s="2"/>
      <c r="L92" s="88" t="s">
        <v>81</v>
      </c>
      <c r="M92" s="91">
        <f>IFERROR(_xlfn.XLOOKUP("PIB Comercio: % del total regional (2025)",'O''Higgins'!$C$5:$C$433,'O''Higgins'!$F$5:$F$433),"")</f>
        <v>0.100713110257817</v>
      </c>
      <c r="N92" s="88"/>
    </row>
    <row r="93" spans="1:14" ht="18">
      <c r="A93" s="2"/>
      <c r="B93" s="2"/>
      <c r="C93" s="2"/>
      <c r="D93" s="2"/>
      <c r="E93" s="2"/>
      <c r="F93" s="2"/>
      <c r="G93" s="2"/>
      <c r="H93" s="2"/>
      <c r="I93" s="2"/>
      <c r="J93" s="2"/>
      <c r="L93" s="88" t="s">
        <v>82</v>
      </c>
      <c r="M93" s="91">
        <f>IFERROR(_xlfn.XLOOKUP("PIB Restaurantes y hoteles: % del total regional (2025)",'O''Higgins'!$C$5:$C$433,'O''Higgins'!$F$5:$F$433),"")</f>
        <v>1.7114646187602899E-2</v>
      </c>
      <c r="N93" s="88"/>
    </row>
    <row r="94" spans="1:14" ht="18">
      <c r="A94" s="2"/>
      <c r="B94" s="2"/>
      <c r="C94" s="2"/>
      <c r="D94" s="2"/>
      <c r="E94" s="2"/>
      <c r="F94" s="2"/>
      <c r="G94" s="2"/>
      <c r="H94" s="2"/>
      <c r="I94" s="2"/>
      <c r="J94" s="2"/>
      <c r="L94" s="88" t="s">
        <v>83</v>
      </c>
      <c r="M94" s="91">
        <f>IFERROR(_xlfn.XLOOKUP("PIB Transporte, información y comunicaciones: % del total regional (2025)",'O''Higgins'!$C$5:$C$433,'O''Higgins'!$F$5:$F$433),"")</f>
        <v>6.06692265496434E-2</v>
      </c>
      <c r="N94" s="88"/>
    </row>
    <row r="95" spans="1:14" ht="18">
      <c r="A95" s="2"/>
      <c r="B95" s="2"/>
      <c r="C95" s="2"/>
      <c r="D95" s="2"/>
      <c r="E95" s="2"/>
      <c r="F95" s="2"/>
      <c r="G95" s="2"/>
      <c r="H95" s="2"/>
      <c r="I95" s="2"/>
      <c r="J95" s="2"/>
      <c r="L95" s="88" t="s">
        <v>84</v>
      </c>
      <c r="M95" s="91">
        <f>IFERROR(_xlfn.XLOOKUP("PIB Servicios financieros y empresariales: % del total regional (2025)",'O''Higgins'!$C$5:$C$433,'O''Higgins'!$F$5:$F$433),"")</f>
        <v>9.6763576522216094E-2</v>
      </c>
      <c r="N95" s="88"/>
    </row>
    <row r="96" spans="1:14" ht="18">
      <c r="A96" s="2"/>
      <c r="B96" s="2"/>
      <c r="C96" s="2"/>
      <c r="D96" s="2"/>
      <c r="E96" s="2"/>
      <c r="F96" s="2"/>
      <c r="G96" s="2"/>
      <c r="H96" s="2"/>
      <c r="I96" s="2"/>
      <c r="J96" s="2"/>
      <c r="L96" s="88" t="s">
        <v>85</v>
      </c>
      <c r="M96" s="91">
        <f>IFERROR(_xlfn.XLOOKUP("PIB Servicios de vivienda e inmobiliarios: % del total regional (2025)",'O''Higgins'!$C$5:$C$433,'O''Higgins'!$F$5:$F$433),"")</f>
        <v>8.9083927591881495E-2</v>
      </c>
      <c r="N96" s="88"/>
    </row>
    <row r="97" spans="1:14" ht="18">
      <c r="A97" s="2"/>
      <c r="B97" s="2"/>
      <c r="C97" s="2"/>
      <c r="D97" s="2"/>
      <c r="E97" s="2"/>
      <c r="F97" s="2"/>
      <c r="G97" s="2"/>
      <c r="H97" s="2"/>
      <c r="I97" s="2"/>
      <c r="J97" s="2"/>
      <c r="L97" s="88" t="s">
        <v>86</v>
      </c>
      <c r="M97" s="91">
        <f>IFERROR(_xlfn.XLOOKUP("PIB Servicios personales: % del total regional (2025)",'O''Higgins'!$C$5:$C$433,'O''Higgins'!$F$5:$F$433),"")</f>
        <v>0.139659901261657</v>
      </c>
      <c r="N97" s="88"/>
    </row>
    <row r="98" spans="1:14" ht="18">
      <c r="A98" s="2"/>
      <c r="B98" s="2"/>
      <c r="C98" s="2"/>
      <c r="D98" s="2"/>
      <c r="E98" s="2"/>
      <c r="F98" s="2"/>
      <c r="G98" s="2"/>
      <c r="H98" s="2"/>
      <c r="I98" s="2"/>
      <c r="J98" s="2"/>
      <c r="L98" s="88" t="s">
        <v>87</v>
      </c>
      <c r="M98" s="91">
        <f>IFERROR(_xlfn.XLOOKUP("PIB Administración pública: % del total regional (2025)",'O''Higgins'!$C$5:$C$433,'O''Higgins'!$F$5:$F$433),"")</f>
        <v>3.7630279758639598E-2</v>
      </c>
      <c r="N98" s="88"/>
    </row>
    <row r="99" spans="1:14" ht="18">
      <c r="A99" s="2"/>
      <c r="B99" s="2"/>
      <c r="C99" s="2"/>
      <c r="D99" s="2"/>
      <c r="E99" s="2"/>
      <c r="F99" s="2"/>
      <c r="G99" s="2"/>
      <c r="H99" s="2"/>
      <c r="I99" s="2"/>
      <c r="J99" s="2"/>
      <c r="L99" s="88"/>
      <c r="M99" s="88"/>
      <c r="N99" s="88"/>
    </row>
    <row r="100" spans="1:14" ht="18">
      <c r="A100" s="2"/>
      <c r="B100" s="2"/>
      <c r="C100" s="2"/>
      <c r="D100" s="2"/>
      <c r="E100" s="2"/>
      <c r="F100" s="2"/>
      <c r="G100" s="2"/>
      <c r="H100" s="2"/>
      <c r="I100" s="2"/>
      <c r="J100" s="2"/>
      <c r="L100" s="88"/>
      <c r="M100" s="88"/>
      <c r="N100" s="88"/>
    </row>
    <row r="101" spans="1:14" ht="18">
      <c r="A101" s="2"/>
      <c r="B101" s="2"/>
      <c r="C101" s="2"/>
      <c r="D101" s="2"/>
      <c r="E101" s="2"/>
      <c r="F101" s="2"/>
      <c r="G101" s="2"/>
      <c r="H101" s="2"/>
      <c r="I101" s="2"/>
      <c r="J101" s="2"/>
      <c r="L101" s="88" t="s">
        <v>88</v>
      </c>
      <c r="M101" s="88" t="s">
        <v>9</v>
      </c>
      <c r="N101" s="88" t="s">
        <v>69</v>
      </c>
    </row>
    <row r="102" spans="1:14" ht="18">
      <c r="A102" s="2"/>
      <c r="B102" s="2"/>
      <c r="C102" s="2"/>
      <c r="D102" s="2"/>
      <c r="E102" s="2"/>
      <c r="F102" s="2"/>
      <c r="G102" s="2"/>
      <c r="H102" s="2"/>
      <c r="I102" s="2"/>
      <c r="J102" s="2"/>
      <c r="L102" s="88" t="s">
        <v>89</v>
      </c>
      <c r="M102" s="91">
        <f>IFERROR(_xlfn.XLOOKUP("Tasa de desocupación, ambos sexos (jun-2026)",'O''Higgins'!$C$5:$C$433,'O''Higgins'!$F$5:$F$433),"")</f>
        <v>0.104</v>
      </c>
      <c r="N102" s="91">
        <f>IFERROR(_xlfn.XLOOKUP("Tasa de desocupación, ambos sexos (jun-2026)",'O''Higgins'!$C$5:$C$433,'O''Higgins'!$G$5:$G$433),"")</f>
        <v>9.4E-2</v>
      </c>
    </row>
    <row r="103" spans="1:14" ht="18">
      <c r="A103" s="2"/>
      <c r="B103" s="2"/>
      <c r="C103" s="2"/>
      <c r="D103" s="2"/>
      <c r="E103" s="2"/>
      <c r="F103" s="2"/>
      <c r="G103" s="2"/>
      <c r="H103" s="2"/>
      <c r="I103" s="2"/>
      <c r="J103" s="2"/>
      <c r="L103" s="88" t="s">
        <v>90</v>
      </c>
      <c r="M103" s="91">
        <f>IFERROR(_xlfn.XLOOKUP("Tasa de ocupación informal, ambos sexos (jun-2026)",'O''Higgins'!$C$5:$C$433,'O''Higgins'!$F$5:$F$433),"")</f>
        <v>0.30299999999999999</v>
      </c>
      <c r="N103" s="91">
        <f>IFERROR(_xlfn.XLOOKUP("Tasa de ocupación informal, ambos sexos (jun-2026)",'O''Higgins'!$C$5:$C$433,'O''Higgins'!$G$5:$G$433),"")</f>
        <v>0.27</v>
      </c>
    </row>
    <row r="104" spans="1:14" ht="18">
      <c r="A104" s="2"/>
      <c r="B104" s="2"/>
      <c r="C104" s="2"/>
      <c r="D104" s="2"/>
      <c r="E104" s="2"/>
      <c r="F104" s="2"/>
      <c r="G104" s="2"/>
      <c r="H104" s="2"/>
      <c r="I104" s="2"/>
      <c r="J104" s="2"/>
      <c r="L104" s="88" t="s">
        <v>91</v>
      </c>
      <c r="M104" s="91">
        <f>IFERROR(_xlfn.XLOOKUP("Pobreza por ingresos (2024)",'O''Higgins'!$C$5:$C$433,'O''Higgins'!$F$5:$F$433),"")</f>
        <v>0.17899999999999999</v>
      </c>
      <c r="N104" s="91">
        <f>IFERROR(_xlfn.XLOOKUP("Pobreza por ingresos (2024)",'O''Higgins'!$C$5:$C$433,'O''Higgins'!$G$5:$G$433),"")</f>
        <v>0.17299999999999999</v>
      </c>
    </row>
    <row r="105" spans="1:14" ht="18">
      <c r="A105" s="2"/>
      <c r="B105" s="2"/>
      <c r="C105" s="2"/>
      <c r="D105" s="2"/>
      <c r="E105" s="2"/>
      <c r="F105" s="2"/>
      <c r="G105" s="2"/>
      <c r="H105" s="2"/>
      <c r="I105" s="2"/>
      <c r="J105" s="2"/>
      <c r="L105" s="88" t="s">
        <v>92</v>
      </c>
      <c r="M105" s="91">
        <f>IFERROR(_xlfn.XLOOKUP("Pobreza multidimensional (2024)",'O''Higgins'!$C$5:$C$433,'O''Higgins'!$F$5:$F$433),"")</f>
        <v>0.17899999999999999</v>
      </c>
      <c r="N105" s="91">
        <f>IFERROR(_xlfn.XLOOKUP("Pobreza multidimensional (2024)",'O''Higgins'!$C$5:$C$433,'O''Higgins'!$G$5:$G$433),"")</f>
        <v>0.17699999999999999</v>
      </c>
    </row>
    <row r="106" spans="1:14" ht="18">
      <c r="A106" s="2"/>
      <c r="B106" s="2"/>
      <c r="C106" s="2"/>
      <c r="D106" s="2"/>
      <c r="E106" s="2"/>
      <c r="F106" s="2"/>
      <c r="G106" s="2"/>
      <c r="H106" s="2"/>
      <c r="I106" s="2"/>
      <c r="J106" s="2"/>
      <c r="L106" s="88" t="s">
        <v>93</v>
      </c>
      <c r="M106" s="91">
        <f>IFERROR(_xlfn.XLOOKUP("Hogares en situación de hacinamiento (%)",'O''Higgins'!$C$5:$C$433,'O''Higgins'!$F$5:$F$433),"")</f>
        <v>5.0999999999999997E-2</v>
      </c>
      <c r="N106" s="91">
        <f>IFERROR(_xlfn.XLOOKUP("Hogares en situación de hacinamiento (%)",'O''Higgins'!$C$5:$C$433,'O''Higgins'!$G$5:$G$433),"")</f>
        <v>5.7000000000000002E-2</v>
      </c>
    </row>
    <row r="107" spans="1:14" ht="18">
      <c r="A107" s="2"/>
      <c r="B107" s="2"/>
      <c r="C107" s="2"/>
      <c r="D107" s="2"/>
      <c r="E107" s="2"/>
      <c r="F107" s="2"/>
      <c r="G107" s="2"/>
      <c r="H107" s="2"/>
      <c r="I107" s="2"/>
      <c r="J107" s="2"/>
      <c r="L107" s="88" t="s">
        <v>94</v>
      </c>
      <c r="M107" s="91">
        <f>IFERROR(_xlfn.XLOOKUP("Hogares con acceso a internet (%)",'O''Higgins'!$C$5:$C$433,'O''Higgins'!$F$5:$F$433),"")</f>
        <v>0.91200000000000003</v>
      </c>
      <c r="N107" s="91">
        <f>IFERROR(_xlfn.XLOOKUP("Hogares con acceso a internet (%)",'O''Higgins'!$C$5:$C$433,'O''Higgins'!$G$5:$G$433),"")</f>
        <v>0.93200000000000005</v>
      </c>
    </row>
    <row r="108" spans="1:14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4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4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4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4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</sheetData>
  <mergeCells count="56">
    <mergeCell ref="A20:B20"/>
    <mergeCell ref="C20:D20"/>
    <mergeCell ref="E20:F20"/>
    <mergeCell ref="G20:H20"/>
    <mergeCell ref="A21:B21"/>
    <mergeCell ref="C21:D21"/>
    <mergeCell ref="E21:F21"/>
    <mergeCell ref="G21:H21"/>
    <mergeCell ref="A18:B18"/>
    <mergeCell ref="C18:D18"/>
    <mergeCell ref="E18:F18"/>
    <mergeCell ref="G18:H18"/>
    <mergeCell ref="A19:B19"/>
    <mergeCell ref="C19:D19"/>
    <mergeCell ref="E19:F19"/>
    <mergeCell ref="G19:H19"/>
    <mergeCell ref="A16:B16"/>
    <mergeCell ref="C16:D16"/>
    <mergeCell ref="E16:F16"/>
    <mergeCell ref="G16:H16"/>
    <mergeCell ref="A17:B17"/>
    <mergeCell ref="C17:D17"/>
    <mergeCell ref="E17:F17"/>
    <mergeCell ref="G17:H17"/>
    <mergeCell ref="A14:B14"/>
    <mergeCell ref="C14:D14"/>
    <mergeCell ref="E14:F14"/>
    <mergeCell ref="G14:H14"/>
    <mergeCell ref="A15:B15"/>
    <mergeCell ref="C15:D15"/>
    <mergeCell ref="E15:F15"/>
    <mergeCell ref="G15:H15"/>
    <mergeCell ref="A12:B12"/>
    <mergeCell ref="C12:D12"/>
    <mergeCell ref="E12:F12"/>
    <mergeCell ref="G12:H12"/>
    <mergeCell ref="A13:B13"/>
    <mergeCell ref="C13:D13"/>
    <mergeCell ref="E13:F13"/>
    <mergeCell ref="G13:H13"/>
    <mergeCell ref="A10:B10"/>
    <mergeCell ref="C10:D10"/>
    <mergeCell ref="E10:F10"/>
    <mergeCell ref="G10:H10"/>
    <mergeCell ref="A11:B11"/>
    <mergeCell ref="C11:D11"/>
    <mergeCell ref="E11:F11"/>
    <mergeCell ref="G11:H11"/>
    <mergeCell ref="A7:B7"/>
    <mergeCell ref="C7:D7"/>
    <mergeCell ref="E7:F7"/>
    <mergeCell ref="G7:H7"/>
    <mergeCell ref="A8:B8"/>
    <mergeCell ref="C8:D8"/>
    <mergeCell ref="E8:F8"/>
    <mergeCell ref="G8:H8"/>
  </mergeCells>
  <hyperlinks>
    <hyperlink ref="A24" location="'O''Higgins'!A5" display="Administración" xr:uid="{C26B16B0-93BE-4E61-84B2-151A838AFFC0}"/>
    <hyperlink ref="E24" location="'O''Higgins'!A235" display="Empleo" xr:uid="{895C7BA2-28AE-40E3-B80B-52D6F0DF8634}"/>
    <hyperlink ref="A25" location="'O''Higgins'!A8" display="Demográfico" xr:uid="{AEA61C78-B773-42D0-AD7C-07675C7252D8}"/>
    <hyperlink ref="E25" location="'O''Higgins'!A320" display="Medio Ambiente" xr:uid="{BFD92F8B-77C5-429D-ADE3-812BE18166E4}"/>
    <hyperlink ref="A26" location="'O''Higgins'!A88" display="Economía" xr:uid="{E3FD4012-B2DC-446A-A26F-76192AF20C37}"/>
    <hyperlink ref="E26" location="'O''Higgins'!A345" display="Vivienda" xr:uid="{28CFCBB9-CC2B-47D3-B620-F2A9100B2756}"/>
    <hyperlink ref="A27" location="'O''Higgins'!A136" display="Votaciones" xr:uid="{20F701BE-2CD6-4FCC-9342-ADBCCF297E4E}"/>
    <hyperlink ref="E27" location="'O''Higgins'!A349" display="Servicios" xr:uid="{CD39A72B-F177-4457-A335-1A076F80E79B}"/>
    <hyperlink ref="A28" location="'O''Higgins'!A152" display="Seguridad" xr:uid="{339AB79E-CAC3-49E0-B695-E9671E5E66BE}"/>
    <hyperlink ref="E28" location="'O''Higgins'!A354" display="Hogares" xr:uid="{957342FD-7888-43B8-91D6-67B1FA53F838}"/>
    <hyperlink ref="A29" location="'O''Higgins'!A187" display="Social" xr:uid="{172CA9FD-9903-4D62-A9A6-6A909664A80B}"/>
    <hyperlink ref="E29" location="'O''Higgins'!A372" display="Cultural, audiovisual, medios" xr:uid="{B1D8D7AD-3579-49C0-A72D-93E6DA199CA0}"/>
    <hyperlink ref="A30" location="'O''Higgins'!A205" display="Geografía" xr:uid="{BA4AFE98-9337-49BF-8EBE-E2502781FE38}"/>
    <hyperlink ref="E30" location="'O''Higgins'!A383" display="Vehículos" xr:uid="{6C3BD780-5B00-4F39-B44B-CB86CBFECE22}"/>
    <hyperlink ref="A31" location="'O''Higgins'!A213" display="Educación" xr:uid="{0B6547BC-4DC3-47F5-8510-D33939E91B6F}"/>
    <hyperlink ref="E31" location="'O''Higgins'!A388" display="Inversión" xr:uid="{7539AAF2-426D-46DF-932C-872C39269BC1}"/>
    <hyperlink ref="A32" location="'O''Higgins'!A231" display="Salud" xr:uid="{50685F15-0EBC-4DBF-96A6-449F275C20E2}"/>
    <hyperlink ref="E32" location="'O''Higgins'!A394" display="Pesca" xr:uid="{44B7D8ED-99D0-4D53-9DBA-CE51B4609F05}"/>
    <hyperlink ref="G4" location="'O''Higgins'!A4" display="Ver base de datos completa →" xr:uid="{D5016AA5-AF6A-487C-BF2F-F0400B485BFB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11D4-F655-475E-A3D3-045DE48849D4}">
  <dimension ref="A1:H433"/>
  <sheetViews>
    <sheetView showGridLines="0" topLeftCell="A56" workbookViewId="0">
      <selection activeCell="A88" sqref="A88"/>
    </sheetView>
  </sheetViews>
  <sheetFormatPr defaultColWidth="11.42578125" defaultRowHeight="14.45"/>
  <cols>
    <col min="1" max="1" width="19.42578125" customWidth="1"/>
    <col min="2" max="2" width="32.42578125" customWidth="1"/>
    <col min="3" max="3" width="61.140625" customWidth="1"/>
    <col min="4" max="4" width="13.85546875" customWidth="1"/>
    <col min="5" max="5" width="25" customWidth="1"/>
    <col min="6" max="7" width="21.28515625" customWidth="1"/>
    <col min="8" max="8" width="27.7109375" customWidth="1"/>
  </cols>
  <sheetData>
    <row r="1" spans="1:8" ht="31.9">
      <c r="A1" s="29" t="s">
        <v>95</v>
      </c>
      <c r="B1" s="2"/>
      <c r="C1" s="2"/>
      <c r="D1" s="2"/>
      <c r="E1" s="2"/>
      <c r="F1" s="2"/>
      <c r="G1" s="2"/>
      <c r="H1" s="2"/>
    </row>
    <row r="2" spans="1:8" ht="19.899999999999999">
      <c r="A2" s="11" t="s">
        <v>96</v>
      </c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 ht="30" customHeight="1">
      <c r="A4" s="30" t="s">
        <v>47</v>
      </c>
      <c r="B4" s="31" t="s">
        <v>97</v>
      </c>
      <c r="C4" s="31" t="s">
        <v>98</v>
      </c>
      <c r="D4" s="31" t="s">
        <v>73</v>
      </c>
      <c r="E4" s="31" t="s">
        <v>99</v>
      </c>
      <c r="F4" s="31" t="s">
        <v>9</v>
      </c>
      <c r="G4" s="31" t="s">
        <v>100</v>
      </c>
      <c r="H4" s="32" t="s">
        <v>101</v>
      </c>
    </row>
    <row r="5" spans="1:8" ht="19.899999999999999">
      <c r="A5" s="104" t="s">
        <v>49</v>
      </c>
      <c r="B5" s="105" t="s">
        <v>102</v>
      </c>
      <c r="C5" s="37" t="s">
        <v>103</v>
      </c>
      <c r="D5" s="106" t="s">
        <v>102</v>
      </c>
      <c r="E5" s="107" t="s">
        <v>104</v>
      </c>
      <c r="F5" s="108" t="s">
        <v>105</v>
      </c>
      <c r="G5" s="135"/>
      <c r="H5" s="109" t="s">
        <v>102</v>
      </c>
    </row>
    <row r="6" spans="1:8" ht="19.899999999999999">
      <c r="A6" s="104" t="s">
        <v>49</v>
      </c>
      <c r="B6" s="105" t="s">
        <v>102</v>
      </c>
      <c r="C6" s="37" t="s">
        <v>106</v>
      </c>
      <c r="D6" s="106" t="s">
        <v>102</v>
      </c>
      <c r="E6" s="107" t="s">
        <v>104</v>
      </c>
      <c r="F6" s="108" t="s">
        <v>107</v>
      </c>
      <c r="G6" s="135"/>
      <c r="H6" s="109" t="s">
        <v>102</v>
      </c>
    </row>
    <row r="7" spans="1:8" ht="19.899999999999999">
      <c r="A7" s="104" t="s">
        <v>49</v>
      </c>
      <c r="B7" s="105" t="s">
        <v>102</v>
      </c>
      <c r="C7" s="37" t="s">
        <v>26</v>
      </c>
      <c r="D7" s="106" t="s">
        <v>102</v>
      </c>
      <c r="E7" s="107" t="s">
        <v>104</v>
      </c>
      <c r="F7" s="108" t="s">
        <v>108</v>
      </c>
      <c r="G7" s="135"/>
      <c r="H7" s="109" t="s">
        <v>102</v>
      </c>
    </row>
    <row r="8" spans="1:8" ht="19.899999999999999">
      <c r="A8" s="104" t="s">
        <v>51</v>
      </c>
      <c r="B8" s="105" t="s">
        <v>109</v>
      </c>
      <c r="C8" s="37" t="s">
        <v>30</v>
      </c>
      <c r="D8" s="106" t="s">
        <v>102</v>
      </c>
      <c r="E8" s="107" t="s">
        <v>110</v>
      </c>
      <c r="F8" s="110">
        <v>1033238</v>
      </c>
      <c r="G8" s="136">
        <v>20206953</v>
      </c>
      <c r="H8" s="109" t="s">
        <v>111</v>
      </c>
    </row>
    <row r="9" spans="1:8" ht="19.899999999999999">
      <c r="A9" s="104" t="s">
        <v>51</v>
      </c>
      <c r="B9" s="105" t="s">
        <v>109</v>
      </c>
      <c r="C9" s="37" t="s">
        <v>112</v>
      </c>
      <c r="D9" s="106" t="s">
        <v>102</v>
      </c>
      <c r="E9" s="107" t="s">
        <v>113</v>
      </c>
      <c r="F9" s="111">
        <v>5.11327957263027E-2</v>
      </c>
      <c r="G9" s="135"/>
      <c r="H9" s="109" t="s">
        <v>111</v>
      </c>
    </row>
    <row r="10" spans="1:8" ht="19.899999999999999">
      <c r="A10" s="104" t="s">
        <v>51</v>
      </c>
      <c r="B10" s="105" t="s">
        <v>109</v>
      </c>
      <c r="C10" s="37" t="s">
        <v>114</v>
      </c>
      <c r="D10" s="106" t="s">
        <v>102</v>
      </c>
      <c r="E10" s="107" t="s">
        <v>110</v>
      </c>
      <c r="F10" s="110">
        <v>516204</v>
      </c>
      <c r="G10" s="136">
        <v>9970025</v>
      </c>
      <c r="H10" s="109" t="s">
        <v>111</v>
      </c>
    </row>
    <row r="11" spans="1:8" ht="19.899999999999999">
      <c r="A11" s="104" t="s">
        <v>51</v>
      </c>
      <c r="B11" s="105" t="s">
        <v>109</v>
      </c>
      <c r="C11" s="37" t="s">
        <v>115</v>
      </c>
      <c r="D11" s="106" t="s">
        <v>102</v>
      </c>
      <c r="E11" s="107" t="s">
        <v>110</v>
      </c>
      <c r="F11" s="110">
        <v>517034</v>
      </c>
      <c r="G11" s="136">
        <v>10236928</v>
      </c>
      <c r="H11" s="109" t="s">
        <v>111</v>
      </c>
    </row>
    <row r="12" spans="1:8" ht="19.899999999999999">
      <c r="A12" s="104" t="s">
        <v>51</v>
      </c>
      <c r="B12" s="105" t="s">
        <v>109</v>
      </c>
      <c r="C12" s="37" t="s">
        <v>116</v>
      </c>
      <c r="D12" s="106" t="s">
        <v>102</v>
      </c>
      <c r="E12" s="107" t="s">
        <v>113</v>
      </c>
      <c r="F12" s="111">
        <v>0.74392792122944995</v>
      </c>
      <c r="G12" s="137">
        <v>0.87767499527569204</v>
      </c>
      <c r="H12" s="109" t="s">
        <v>117</v>
      </c>
    </row>
    <row r="13" spans="1:8" ht="19.899999999999999">
      <c r="A13" s="104" t="s">
        <v>51</v>
      </c>
      <c r="B13" s="105" t="s">
        <v>109</v>
      </c>
      <c r="C13" s="37" t="s">
        <v>118</v>
      </c>
      <c r="D13" s="106" t="s">
        <v>102</v>
      </c>
      <c r="E13" s="107" t="s">
        <v>113</v>
      </c>
      <c r="F13" s="111">
        <v>0.25607207877054999</v>
      </c>
      <c r="G13" s="137">
        <v>0.122325004724308</v>
      </c>
      <c r="H13" s="109" t="s">
        <v>117</v>
      </c>
    </row>
    <row r="14" spans="1:8" ht="19.899999999999999">
      <c r="A14" s="104" t="s">
        <v>51</v>
      </c>
      <c r="B14" s="105" t="s">
        <v>119</v>
      </c>
      <c r="C14" s="37" t="s">
        <v>120</v>
      </c>
      <c r="D14" s="106">
        <v>2024</v>
      </c>
      <c r="E14" s="107" t="s">
        <v>121</v>
      </c>
      <c r="F14" s="108">
        <v>62.7</v>
      </c>
      <c r="G14" s="137"/>
      <c r="H14" s="109" t="s">
        <v>122</v>
      </c>
    </row>
    <row r="15" spans="1:8" ht="19.899999999999999">
      <c r="A15" s="104" t="s">
        <v>51</v>
      </c>
      <c r="B15" s="105" t="s">
        <v>119</v>
      </c>
      <c r="C15" s="37" t="s">
        <v>123</v>
      </c>
      <c r="D15" s="106">
        <v>2017</v>
      </c>
      <c r="E15" s="107" t="s">
        <v>121</v>
      </c>
      <c r="F15" s="108">
        <v>62.2</v>
      </c>
      <c r="G15" s="137"/>
      <c r="H15" s="109" t="s">
        <v>122</v>
      </c>
    </row>
    <row r="16" spans="1:8" ht="19.899999999999999">
      <c r="A16" s="104" t="s">
        <v>51</v>
      </c>
      <c r="B16" s="105" t="s">
        <v>119</v>
      </c>
      <c r="C16" s="37" t="s">
        <v>124</v>
      </c>
      <c r="D16" s="106">
        <v>2002</v>
      </c>
      <c r="E16" s="107" t="s">
        <v>121</v>
      </c>
      <c r="F16" s="108">
        <v>49.4</v>
      </c>
      <c r="G16" s="137"/>
      <c r="H16" s="109" t="s">
        <v>122</v>
      </c>
    </row>
    <row r="17" spans="1:8" ht="19.899999999999999">
      <c r="A17" s="104" t="s">
        <v>51</v>
      </c>
      <c r="B17" s="105" t="s">
        <v>125</v>
      </c>
      <c r="C17" s="37" t="s">
        <v>126</v>
      </c>
      <c r="D17" s="106" t="s">
        <v>102</v>
      </c>
      <c r="E17" s="107" t="s">
        <v>110</v>
      </c>
      <c r="F17" s="110">
        <v>188580</v>
      </c>
      <c r="G17" s="136">
        <v>3669787</v>
      </c>
      <c r="H17" s="109" t="s">
        <v>111</v>
      </c>
    </row>
    <row r="18" spans="1:8" ht="19.899999999999999">
      <c r="A18" s="104" t="s">
        <v>51</v>
      </c>
      <c r="B18" s="105" t="s">
        <v>125</v>
      </c>
      <c r="C18" s="37" t="s">
        <v>127</v>
      </c>
      <c r="D18" s="106" t="s">
        <v>102</v>
      </c>
      <c r="E18" s="107" t="s">
        <v>110</v>
      </c>
      <c r="F18" s="110">
        <v>679641</v>
      </c>
      <c r="G18" s="136">
        <v>13660930</v>
      </c>
      <c r="H18" s="109" t="s">
        <v>111</v>
      </c>
    </row>
    <row r="19" spans="1:8" ht="19.899999999999999">
      <c r="A19" s="104" t="s">
        <v>51</v>
      </c>
      <c r="B19" s="105" t="s">
        <v>125</v>
      </c>
      <c r="C19" s="37" t="s">
        <v>128</v>
      </c>
      <c r="D19" s="106" t="s">
        <v>102</v>
      </c>
      <c r="E19" s="107" t="s">
        <v>110</v>
      </c>
      <c r="F19" s="110">
        <v>165017</v>
      </c>
      <c r="G19" s="136">
        <v>2876236</v>
      </c>
      <c r="H19" s="109" t="s">
        <v>111</v>
      </c>
    </row>
    <row r="20" spans="1:8" ht="19.899999999999999">
      <c r="A20" s="104" t="s">
        <v>51</v>
      </c>
      <c r="B20" s="105" t="s">
        <v>125</v>
      </c>
      <c r="C20" s="37" t="s">
        <v>129</v>
      </c>
      <c r="D20" s="106" t="s">
        <v>102</v>
      </c>
      <c r="E20" s="107" t="s">
        <v>113</v>
      </c>
      <c r="F20" s="111">
        <v>0.18251361254619</v>
      </c>
      <c r="G20" s="137">
        <v>0.18161011212328701</v>
      </c>
      <c r="H20" s="109" t="s">
        <v>111</v>
      </c>
    </row>
    <row r="21" spans="1:8" ht="19.899999999999999">
      <c r="A21" s="104" t="s">
        <v>51</v>
      </c>
      <c r="B21" s="105" t="s">
        <v>125</v>
      </c>
      <c r="C21" s="37" t="s">
        <v>130</v>
      </c>
      <c r="D21" s="106" t="s">
        <v>102</v>
      </c>
      <c r="E21" s="107" t="s">
        <v>113</v>
      </c>
      <c r="F21" s="111">
        <v>0.65777778207924997</v>
      </c>
      <c r="G21" s="137">
        <v>0.67605096127060804</v>
      </c>
      <c r="H21" s="109" t="s">
        <v>111</v>
      </c>
    </row>
    <row r="22" spans="1:8" ht="19.899999999999999">
      <c r="A22" s="104" t="s">
        <v>51</v>
      </c>
      <c r="B22" s="105" t="s">
        <v>125</v>
      </c>
      <c r="C22" s="37" t="s">
        <v>131</v>
      </c>
      <c r="D22" s="106" t="s">
        <v>102</v>
      </c>
      <c r="E22" s="107" t="s">
        <v>113</v>
      </c>
      <c r="F22" s="111">
        <v>0.15970860537456</v>
      </c>
      <c r="G22" s="137">
        <v>0.142338926606104</v>
      </c>
      <c r="H22" s="109" t="s">
        <v>111</v>
      </c>
    </row>
    <row r="23" spans="1:8" ht="19.899999999999999">
      <c r="A23" s="104" t="s">
        <v>51</v>
      </c>
      <c r="B23" s="105" t="s">
        <v>132</v>
      </c>
      <c r="C23" s="37" t="s">
        <v>133</v>
      </c>
      <c r="D23" s="106">
        <v>2025</v>
      </c>
      <c r="E23" s="107" t="s">
        <v>134</v>
      </c>
      <c r="F23" s="108">
        <v>79.5</v>
      </c>
      <c r="G23" s="135">
        <v>79</v>
      </c>
      <c r="H23" s="109" t="s">
        <v>135</v>
      </c>
    </row>
    <row r="24" spans="1:8" ht="19.899999999999999">
      <c r="A24" s="104" t="s">
        <v>51</v>
      </c>
      <c r="B24" s="105" t="s">
        <v>132</v>
      </c>
      <c r="C24" s="37" t="s">
        <v>136</v>
      </c>
      <c r="D24" s="106">
        <v>2025</v>
      </c>
      <c r="E24" s="107" t="s">
        <v>134</v>
      </c>
      <c r="F24" s="108">
        <v>84.4</v>
      </c>
      <c r="G24" s="135">
        <v>85</v>
      </c>
      <c r="H24" s="109" t="s">
        <v>135</v>
      </c>
    </row>
    <row r="25" spans="1:8" ht="19.899999999999999">
      <c r="A25" s="104" t="s">
        <v>51</v>
      </c>
      <c r="B25" s="105" t="s">
        <v>132</v>
      </c>
      <c r="C25" s="37" t="s">
        <v>137</v>
      </c>
      <c r="D25" s="106">
        <v>2002</v>
      </c>
      <c r="E25" s="107" t="s">
        <v>134</v>
      </c>
      <c r="F25" s="108">
        <v>73.7</v>
      </c>
      <c r="G25" s="135">
        <v>74</v>
      </c>
      <c r="H25" s="109" t="s">
        <v>135</v>
      </c>
    </row>
    <row r="26" spans="1:8" ht="19.899999999999999">
      <c r="A26" s="104" t="s">
        <v>51</v>
      </c>
      <c r="B26" s="105" t="s">
        <v>132</v>
      </c>
      <c r="C26" s="37" t="s">
        <v>138</v>
      </c>
      <c r="D26" s="106">
        <v>2002</v>
      </c>
      <c r="E26" s="107" t="s">
        <v>134</v>
      </c>
      <c r="F26" s="108">
        <v>79.400000000000006</v>
      </c>
      <c r="G26" s="135">
        <v>80</v>
      </c>
      <c r="H26" s="109" t="s">
        <v>135</v>
      </c>
    </row>
    <row r="27" spans="1:8" ht="19.899999999999999">
      <c r="A27" s="104" t="s">
        <v>51</v>
      </c>
      <c r="B27" s="105" t="s">
        <v>139</v>
      </c>
      <c r="C27" s="37" t="s">
        <v>140</v>
      </c>
      <c r="D27" s="106">
        <v>1992</v>
      </c>
      <c r="E27" s="107" t="s">
        <v>113</v>
      </c>
      <c r="F27" s="112">
        <v>3.0000000000000001E-3</v>
      </c>
      <c r="G27" s="138">
        <v>8.0000000000000002E-3</v>
      </c>
      <c r="H27" s="109" t="s">
        <v>141</v>
      </c>
    </row>
    <row r="28" spans="1:8" ht="19.899999999999999">
      <c r="A28" s="104" t="s">
        <v>51</v>
      </c>
      <c r="B28" s="105" t="s">
        <v>139</v>
      </c>
      <c r="C28" s="37" t="s">
        <v>142</v>
      </c>
      <c r="D28" s="106">
        <v>2002</v>
      </c>
      <c r="E28" s="107" t="s">
        <v>113</v>
      </c>
      <c r="F28" s="112">
        <v>4.0000000000000001E-3</v>
      </c>
      <c r="G28" s="138">
        <v>1.2999999999999999E-2</v>
      </c>
      <c r="H28" s="109" t="s">
        <v>141</v>
      </c>
    </row>
    <row r="29" spans="1:8" ht="19.899999999999999">
      <c r="A29" s="104" t="s">
        <v>51</v>
      </c>
      <c r="B29" s="105" t="s">
        <v>139</v>
      </c>
      <c r="C29" s="37" t="s">
        <v>143</v>
      </c>
      <c r="D29" s="106">
        <v>2017</v>
      </c>
      <c r="E29" s="107" t="s">
        <v>113</v>
      </c>
      <c r="F29" s="112">
        <v>1.4999999999999999E-2</v>
      </c>
      <c r="G29" s="138">
        <v>4.3999999999999997E-2</v>
      </c>
      <c r="H29" s="109" t="s">
        <v>141</v>
      </c>
    </row>
    <row r="30" spans="1:8" ht="19.899999999999999">
      <c r="A30" s="104" t="s">
        <v>51</v>
      </c>
      <c r="B30" s="105" t="s">
        <v>139</v>
      </c>
      <c r="C30" s="37" t="s">
        <v>144</v>
      </c>
      <c r="D30" s="106">
        <v>2024</v>
      </c>
      <c r="E30" s="107" t="s">
        <v>113</v>
      </c>
      <c r="F30" s="112">
        <v>0.05</v>
      </c>
      <c r="G30" s="138">
        <v>8.7999999999999995E-2</v>
      </c>
      <c r="H30" s="109" t="s">
        <v>141</v>
      </c>
    </row>
    <row r="31" spans="1:8" ht="19.899999999999999">
      <c r="A31" s="104" t="s">
        <v>51</v>
      </c>
      <c r="B31" s="105" t="s">
        <v>139</v>
      </c>
      <c r="C31" s="37" t="s">
        <v>145</v>
      </c>
      <c r="D31" s="106">
        <v>2024</v>
      </c>
      <c r="E31" s="107" t="s">
        <v>104</v>
      </c>
      <c r="F31" s="112" t="s">
        <v>146</v>
      </c>
      <c r="G31" s="138" t="s">
        <v>146</v>
      </c>
      <c r="H31" s="109" t="s">
        <v>141</v>
      </c>
    </row>
    <row r="32" spans="1:8" ht="19.899999999999999">
      <c r="A32" s="104" t="s">
        <v>51</v>
      </c>
      <c r="B32" s="105" t="s">
        <v>147</v>
      </c>
      <c r="C32" s="37" t="s">
        <v>148</v>
      </c>
      <c r="D32" s="106">
        <v>2023</v>
      </c>
      <c r="E32" s="107" t="s">
        <v>110</v>
      </c>
      <c r="F32" s="110">
        <v>46671</v>
      </c>
      <c r="G32" s="136">
        <v>1136104</v>
      </c>
      <c r="H32" s="109" t="s">
        <v>149</v>
      </c>
    </row>
    <row r="33" spans="1:8" ht="19.899999999999999">
      <c r="A33" s="104" t="s">
        <v>51</v>
      </c>
      <c r="B33" s="105" t="s">
        <v>147</v>
      </c>
      <c r="C33" s="37" t="s">
        <v>150</v>
      </c>
      <c r="D33" s="106">
        <v>2023</v>
      </c>
      <c r="E33" s="107" t="s">
        <v>113</v>
      </c>
      <c r="F33" s="111">
        <v>4.5169651135556398E-2</v>
      </c>
      <c r="G33" s="137">
        <v>5.6223419730822399E-2</v>
      </c>
      <c r="H33" s="109" t="s">
        <v>149</v>
      </c>
    </row>
    <row r="34" spans="1:8" ht="19.899999999999999">
      <c r="A34" s="104" t="s">
        <v>51</v>
      </c>
      <c r="B34" s="105" t="s">
        <v>147</v>
      </c>
      <c r="C34" s="37" t="s">
        <v>151</v>
      </c>
      <c r="D34" s="106">
        <v>2023</v>
      </c>
      <c r="E34" s="107" t="s">
        <v>110</v>
      </c>
      <c r="F34" s="110">
        <v>11877</v>
      </c>
      <c r="G34" s="136">
        <v>336984</v>
      </c>
      <c r="H34" s="109" t="s">
        <v>149</v>
      </c>
    </row>
    <row r="35" spans="1:8" ht="19.899999999999999">
      <c r="A35" s="104" t="s">
        <v>51</v>
      </c>
      <c r="B35" s="105" t="s">
        <v>147</v>
      </c>
      <c r="C35" s="37" t="s">
        <v>152</v>
      </c>
      <c r="D35" s="106">
        <v>2023</v>
      </c>
      <c r="E35" s="107" t="s">
        <v>110</v>
      </c>
      <c r="F35" s="110">
        <v>34794</v>
      </c>
      <c r="G35" s="136">
        <v>799120</v>
      </c>
      <c r="H35" s="109" t="s">
        <v>149</v>
      </c>
    </row>
    <row r="36" spans="1:8" ht="19.899999999999999">
      <c r="A36" s="104" t="s">
        <v>51</v>
      </c>
      <c r="B36" s="105" t="s">
        <v>147</v>
      </c>
      <c r="C36" s="37" t="s">
        <v>153</v>
      </c>
      <c r="D36" s="106">
        <v>2023</v>
      </c>
      <c r="E36" s="107" t="s">
        <v>113</v>
      </c>
      <c r="F36" s="111">
        <v>3.5244996795100098E-2</v>
      </c>
      <c r="G36" s="137"/>
      <c r="H36" s="109" t="s">
        <v>149</v>
      </c>
    </row>
    <row r="37" spans="1:8" ht="19.899999999999999">
      <c r="A37" s="104" t="s">
        <v>51</v>
      </c>
      <c r="B37" s="105" t="s">
        <v>147</v>
      </c>
      <c r="C37" s="37" t="s">
        <v>154</v>
      </c>
      <c r="D37" s="106">
        <v>2023</v>
      </c>
      <c r="E37" s="107" t="s">
        <v>113</v>
      </c>
      <c r="F37" s="111">
        <v>4.3540394433877298E-2</v>
      </c>
      <c r="G37" s="137"/>
      <c r="H37" s="109" t="s">
        <v>149</v>
      </c>
    </row>
    <row r="38" spans="1:8" ht="19.899999999999999">
      <c r="A38" s="104" t="s">
        <v>51</v>
      </c>
      <c r="B38" s="105" t="s">
        <v>155</v>
      </c>
      <c r="C38" s="37" t="s">
        <v>156</v>
      </c>
      <c r="D38" s="106">
        <v>2024</v>
      </c>
      <c r="E38" s="107" t="s">
        <v>110</v>
      </c>
      <c r="F38" s="110">
        <v>50681</v>
      </c>
      <c r="G38" s="136">
        <v>2105863</v>
      </c>
      <c r="H38" s="109" t="s">
        <v>141</v>
      </c>
    </row>
    <row r="39" spans="1:8" ht="19.899999999999999">
      <c r="A39" s="104" t="s">
        <v>51</v>
      </c>
      <c r="B39" s="105" t="s">
        <v>155</v>
      </c>
      <c r="C39" s="37" t="s">
        <v>157</v>
      </c>
      <c r="D39" s="106">
        <v>2024</v>
      </c>
      <c r="E39" s="107" t="s">
        <v>113</v>
      </c>
      <c r="F39" s="111">
        <v>5.1999999999999998E-2</v>
      </c>
      <c r="G39" s="137">
        <v>0.115</v>
      </c>
      <c r="H39" s="109" t="s">
        <v>141</v>
      </c>
    </row>
    <row r="40" spans="1:8" ht="19.899999999999999">
      <c r="A40" s="104" t="s">
        <v>51</v>
      </c>
      <c r="B40" s="105" t="s">
        <v>158</v>
      </c>
      <c r="C40" s="37" t="s">
        <v>159</v>
      </c>
      <c r="D40" s="106">
        <v>2024</v>
      </c>
      <c r="E40" s="107" t="s">
        <v>113</v>
      </c>
      <c r="F40" s="112">
        <v>0.126</v>
      </c>
      <c r="G40" s="138">
        <v>0.111</v>
      </c>
      <c r="H40" s="109" t="s">
        <v>141</v>
      </c>
    </row>
    <row r="41" spans="1:8" ht="19.899999999999999">
      <c r="A41" s="104" t="s">
        <v>51</v>
      </c>
      <c r="B41" s="105" t="s">
        <v>158</v>
      </c>
      <c r="C41" s="37" t="s">
        <v>160</v>
      </c>
      <c r="D41" s="106">
        <v>2024</v>
      </c>
      <c r="E41" s="107" t="s">
        <v>113</v>
      </c>
      <c r="F41" s="112">
        <v>1E-3</v>
      </c>
      <c r="G41" s="138">
        <v>1E-3</v>
      </c>
      <c r="H41" s="109" t="s">
        <v>141</v>
      </c>
    </row>
    <row r="42" spans="1:8" ht="19.899999999999999">
      <c r="A42" s="104" t="s">
        <v>51</v>
      </c>
      <c r="B42" s="105" t="s">
        <v>158</v>
      </c>
      <c r="C42" s="37" t="s">
        <v>161</v>
      </c>
      <c r="D42" s="106">
        <v>2024</v>
      </c>
      <c r="E42" s="107" t="s">
        <v>113</v>
      </c>
      <c r="F42" s="112">
        <v>3.0000000000000001E-3</v>
      </c>
      <c r="G42" s="138">
        <v>4.0000000000000001E-3</v>
      </c>
      <c r="H42" s="109" t="s">
        <v>141</v>
      </c>
    </row>
    <row r="43" spans="1:8" ht="19.899999999999999">
      <c r="A43" s="104" t="s">
        <v>51</v>
      </c>
      <c r="B43" s="105" t="s">
        <v>162</v>
      </c>
      <c r="C43" s="37" t="s">
        <v>163</v>
      </c>
      <c r="D43" s="106">
        <v>2025</v>
      </c>
      <c r="E43" s="107" t="s">
        <v>162</v>
      </c>
      <c r="F43" s="110">
        <v>7944</v>
      </c>
      <c r="G43" s="136">
        <v>146446</v>
      </c>
      <c r="H43" s="109" t="s">
        <v>164</v>
      </c>
    </row>
    <row r="44" spans="1:8" ht="19.899999999999999">
      <c r="A44" s="104" t="s">
        <v>51</v>
      </c>
      <c r="B44" s="105" t="s">
        <v>162</v>
      </c>
      <c r="C44" s="37" t="s">
        <v>165</v>
      </c>
      <c r="D44" s="106">
        <v>2025</v>
      </c>
      <c r="E44" s="107" t="s">
        <v>113</v>
      </c>
      <c r="F44" s="111">
        <v>5.4245250809172002E-2</v>
      </c>
      <c r="G44" s="136"/>
      <c r="H44" s="109" t="s">
        <v>164</v>
      </c>
    </row>
    <row r="45" spans="1:8" ht="19.899999999999999">
      <c r="A45" s="104" t="s">
        <v>51</v>
      </c>
      <c r="B45" s="105" t="s">
        <v>162</v>
      </c>
      <c r="C45" s="37" t="s">
        <v>166</v>
      </c>
      <c r="D45" s="106">
        <v>2025</v>
      </c>
      <c r="E45" s="107" t="s">
        <v>162</v>
      </c>
      <c r="F45" s="110">
        <v>6639</v>
      </c>
      <c r="G45" s="136">
        <v>117593</v>
      </c>
      <c r="H45" s="109" t="s">
        <v>164</v>
      </c>
    </row>
    <row r="46" spans="1:8" ht="19.899999999999999">
      <c r="A46" s="104" t="s">
        <v>51</v>
      </c>
      <c r="B46" s="105" t="s">
        <v>162</v>
      </c>
      <c r="C46" s="37" t="s">
        <v>167</v>
      </c>
      <c r="D46" s="106">
        <v>2025</v>
      </c>
      <c r="E46" s="107" t="s">
        <v>113</v>
      </c>
      <c r="F46" s="113">
        <v>0.83572507552870101</v>
      </c>
      <c r="G46" s="139">
        <v>0.80297857230651604</v>
      </c>
      <c r="H46" s="109" t="s">
        <v>164</v>
      </c>
    </row>
    <row r="47" spans="1:8" ht="19.899999999999999">
      <c r="A47" s="104" t="s">
        <v>51</v>
      </c>
      <c r="B47" s="105" t="s">
        <v>162</v>
      </c>
      <c r="C47" s="37" t="s">
        <v>168</v>
      </c>
      <c r="D47" s="106">
        <v>2025</v>
      </c>
      <c r="E47" s="107" t="s">
        <v>162</v>
      </c>
      <c r="F47" s="110">
        <v>1305</v>
      </c>
      <c r="G47" s="136">
        <v>28853</v>
      </c>
      <c r="H47" s="109" t="s">
        <v>164</v>
      </c>
    </row>
    <row r="48" spans="1:8" ht="19.899999999999999">
      <c r="A48" s="104" t="s">
        <v>51</v>
      </c>
      <c r="B48" s="105" t="s">
        <v>162</v>
      </c>
      <c r="C48" s="37" t="s">
        <v>169</v>
      </c>
      <c r="D48" s="106">
        <v>2025</v>
      </c>
      <c r="E48" s="107" t="s">
        <v>113</v>
      </c>
      <c r="F48" s="113">
        <v>0.16427492447129899</v>
      </c>
      <c r="G48" s="139">
        <v>0.19702142769348399</v>
      </c>
      <c r="H48" s="109" t="s">
        <v>164</v>
      </c>
    </row>
    <row r="49" spans="1:8" ht="19.899999999999999">
      <c r="A49" s="104" t="s">
        <v>51</v>
      </c>
      <c r="B49" s="105" t="s">
        <v>162</v>
      </c>
      <c r="C49" s="37" t="s">
        <v>170</v>
      </c>
      <c r="D49" s="106">
        <v>2024</v>
      </c>
      <c r="E49" s="107" t="s">
        <v>162</v>
      </c>
      <c r="F49" s="110">
        <v>8289</v>
      </c>
      <c r="G49" s="136">
        <v>154441</v>
      </c>
      <c r="H49" s="109" t="s">
        <v>164</v>
      </c>
    </row>
    <row r="50" spans="1:8" ht="19.899999999999999">
      <c r="A50" s="104" t="s">
        <v>51</v>
      </c>
      <c r="B50" s="105" t="s">
        <v>162</v>
      </c>
      <c r="C50" s="37" t="s">
        <v>171</v>
      </c>
      <c r="D50" s="106">
        <v>2023</v>
      </c>
      <c r="E50" s="107" t="s">
        <v>162</v>
      </c>
      <c r="F50" s="110">
        <v>9001</v>
      </c>
      <c r="G50" s="136">
        <v>171992</v>
      </c>
      <c r="H50" s="109" t="s">
        <v>164</v>
      </c>
    </row>
    <row r="51" spans="1:8" ht="19.899999999999999">
      <c r="A51" s="104" t="s">
        <v>51</v>
      </c>
      <c r="B51" s="105" t="s">
        <v>162</v>
      </c>
      <c r="C51" s="37" t="s">
        <v>172</v>
      </c>
      <c r="D51" s="106">
        <v>2022</v>
      </c>
      <c r="E51" s="107" t="s">
        <v>162</v>
      </c>
      <c r="F51" s="110">
        <v>10072</v>
      </c>
      <c r="G51" s="136">
        <v>189310</v>
      </c>
      <c r="H51" s="109" t="s">
        <v>164</v>
      </c>
    </row>
    <row r="52" spans="1:8" ht="19.899999999999999">
      <c r="A52" s="104" t="s">
        <v>51</v>
      </c>
      <c r="B52" s="105" t="s">
        <v>162</v>
      </c>
      <c r="C52" s="37" t="s">
        <v>173</v>
      </c>
      <c r="D52" s="106">
        <v>2021</v>
      </c>
      <c r="E52" s="107" t="s">
        <v>162</v>
      </c>
      <c r="F52" s="110">
        <v>9266</v>
      </c>
      <c r="G52" s="136">
        <v>177467</v>
      </c>
      <c r="H52" s="109" t="s">
        <v>164</v>
      </c>
    </row>
    <row r="53" spans="1:8" ht="19.899999999999999">
      <c r="A53" s="104" t="s">
        <v>51</v>
      </c>
      <c r="B53" s="105" t="s">
        <v>162</v>
      </c>
      <c r="C53" s="37" t="s">
        <v>174</v>
      </c>
      <c r="D53" s="106">
        <v>2020</v>
      </c>
      <c r="E53" s="107" t="s">
        <v>162</v>
      </c>
      <c r="F53" s="110">
        <v>10260</v>
      </c>
      <c r="G53" s="136">
        <v>195231</v>
      </c>
      <c r="H53" s="109" t="s">
        <v>164</v>
      </c>
    </row>
    <row r="54" spans="1:8" ht="19.899999999999999">
      <c r="A54" s="104" t="s">
        <v>51</v>
      </c>
      <c r="B54" s="105" t="s">
        <v>175</v>
      </c>
      <c r="C54" s="37" t="s">
        <v>176</v>
      </c>
      <c r="D54" s="106">
        <v>2025</v>
      </c>
      <c r="E54" s="107" t="s">
        <v>175</v>
      </c>
      <c r="F54" s="114">
        <v>7156</v>
      </c>
      <c r="G54" s="140">
        <v>126428</v>
      </c>
      <c r="H54" s="109" t="s">
        <v>164</v>
      </c>
    </row>
    <row r="55" spans="1:8" ht="19.899999999999999">
      <c r="A55" s="104" t="s">
        <v>51</v>
      </c>
      <c r="B55" s="105" t="s">
        <v>175</v>
      </c>
      <c r="C55" s="37" t="s">
        <v>177</v>
      </c>
      <c r="D55" s="106">
        <v>2025</v>
      </c>
      <c r="E55" s="107" t="s">
        <v>113</v>
      </c>
      <c r="F55" s="111">
        <v>5.66013857689752E-2</v>
      </c>
      <c r="G55" s="136"/>
      <c r="H55" s="109" t="s">
        <v>164</v>
      </c>
    </row>
    <row r="56" spans="1:8" ht="19.899999999999999">
      <c r="A56" s="104" t="s">
        <v>51</v>
      </c>
      <c r="B56" s="105" t="s">
        <v>178</v>
      </c>
      <c r="C56" s="37" t="s">
        <v>179</v>
      </c>
      <c r="D56" s="106">
        <v>2025</v>
      </c>
      <c r="E56" s="107" t="s">
        <v>110</v>
      </c>
      <c r="F56" s="141">
        <v>788</v>
      </c>
      <c r="G56" s="136">
        <v>20018</v>
      </c>
      <c r="H56" s="109" t="s">
        <v>164</v>
      </c>
    </row>
    <row r="57" spans="1:8" ht="19.899999999999999">
      <c r="A57" s="104" t="s">
        <v>51</v>
      </c>
      <c r="B57" s="105" t="s">
        <v>175</v>
      </c>
      <c r="C57" s="37" t="s">
        <v>180</v>
      </c>
      <c r="D57" s="106">
        <v>2024</v>
      </c>
      <c r="E57" s="107" t="s">
        <v>175</v>
      </c>
      <c r="F57" s="114">
        <v>7144</v>
      </c>
      <c r="G57" s="140">
        <v>126883</v>
      </c>
      <c r="H57" s="109" t="s">
        <v>164</v>
      </c>
    </row>
    <row r="58" spans="1:8" ht="19.899999999999999">
      <c r="A58" s="104" t="s">
        <v>51</v>
      </c>
      <c r="B58" s="105" t="s">
        <v>175</v>
      </c>
      <c r="C58" s="37" t="s">
        <v>181</v>
      </c>
      <c r="D58" s="106">
        <v>2023</v>
      </c>
      <c r="E58" s="107" t="s">
        <v>175</v>
      </c>
      <c r="F58" s="114">
        <v>6621</v>
      </c>
      <c r="G58" s="140">
        <v>121270</v>
      </c>
      <c r="H58" s="109" t="s">
        <v>164</v>
      </c>
    </row>
    <row r="59" spans="1:8" ht="19.899999999999999">
      <c r="A59" s="104" t="s">
        <v>51</v>
      </c>
      <c r="B59" s="105" t="s">
        <v>175</v>
      </c>
      <c r="C59" s="37" t="s">
        <v>182</v>
      </c>
      <c r="D59" s="106">
        <v>2022</v>
      </c>
      <c r="E59" s="107" t="s">
        <v>175</v>
      </c>
      <c r="F59" s="114">
        <v>7518</v>
      </c>
      <c r="G59" s="140">
        <v>136958</v>
      </c>
      <c r="H59" s="109" t="s">
        <v>164</v>
      </c>
    </row>
    <row r="60" spans="1:8" ht="19.899999999999999">
      <c r="A60" s="104" t="s">
        <v>51</v>
      </c>
      <c r="B60" s="105" t="s">
        <v>175</v>
      </c>
      <c r="C60" s="37" t="s">
        <v>183</v>
      </c>
      <c r="D60" s="106">
        <v>2021</v>
      </c>
      <c r="E60" s="107" t="s">
        <v>175</v>
      </c>
      <c r="F60" s="114">
        <v>7257</v>
      </c>
      <c r="G60" s="140">
        <v>137629</v>
      </c>
      <c r="H60" s="109" t="s">
        <v>164</v>
      </c>
    </row>
    <row r="61" spans="1:8" ht="19.899999999999999">
      <c r="A61" s="104" t="s">
        <v>51</v>
      </c>
      <c r="B61" s="105" t="s">
        <v>175</v>
      </c>
      <c r="C61" s="37" t="s">
        <v>184</v>
      </c>
      <c r="D61" s="106">
        <v>2020</v>
      </c>
      <c r="E61" s="107" t="s">
        <v>175</v>
      </c>
      <c r="F61" s="110">
        <v>6447</v>
      </c>
      <c r="G61" s="136">
        <v>126169</v>
      </c>
      <c r="H61" s="109" t="s">
        <v>164</v>
      </c>
    </row>
    <row r="62" spans="1:8" ht="19.899999999999999">
      <c r="A62" s="104" t="s">
        <v>51</v>
      </c>
      <c r="B62" s="105" t="s">
        <v>185</v>
      </c>
      <c r="C62" s="37" t="s">
        <v>186</v>
      </c>
      <c r="D62" s="106">
        <v>2025</v>
      </c>
      <c r="E62" s="107" t="s">
        <v>187</v>
      </c>
      <c r="F62" s="110">
        <v>2671</v>
      </c>
      <c r="G62" s="136">
        <v>60293</v>
      </c>
      <c r="H62" s="109" t="s">
        <v>164</v>
      </c>
    </row>
    <row r="63" spans="1:8" ht="19.899999999999999">
      <c r="A63" s="104" t="s">
        <v>51</v>
      </c>
      <c r="B63" s="105" t="s">
        <v>185</v>
      </c>
      <c r="C63" s="37" t="s">
        <v>188</v>
      </c>
      <c r="D63" s="106">
        <v>2025</v>
      </c>
      <c r="E63" s="107" t="s">
        <v>189</v>
      </c>
      <c r="F63" s="114">
        <v>592</v>
      </c>
      <c r="G63" s="140">
        <v>19700</v>
      </c>
      <c r="H63" s="109" t="s">
        <v>164</v>
      </c>
    </row>
    <row r="64" spans="1:8" ht="19.899999999999999">
      <c r="A64" s="104" t="s">
        <v>51</v>
      </c>
      <c r="B64" s="105" t="s">
        <v>185</v>
      </c>
      <c r="C64" s="37" t="s">
        <v>190</v>
      </c>
      <c r="D64" s="106">
        <v>2025</v>
      </c>
      <c r="E64" s="107" t="s">
        <v>191</v>
      </c>
      <c r="F64" s="110">
        <v>3263</v>
      </c>
      <c r="G64" s="136">
        <v>79993</v>
      </c>
      <c r="H64" s="109" t="s">
        <v>164</v>
      </c>
    </row>
    <row r="65" spans="1:8" ht="19.899999999999999">
      <c r="A65" s="104" t="s">
        <v>51</v>
      </c>
      <c r="B65" s="105" t="s">
        <v>185</v>
      </c>
      <c r="C65" s="37" t="s">
        <v>192</v>
      </c>
      <c r="D65" s="106">
        <v>2025</v>
      </c>
      <c r="E65" s="107" t="s">
        <v>113</v>
      </c>
      <c r="F65" s="111">
        <v>4.0791069218556603E-2</v>
      </c>
      <c r="G65" s="136"/>
      <c r="H65" s="109" t="s">
        <v>164</v>
      </c>
    </row>
    <row r="66" spans="1:8" ht="19.899999999999999">
      <c r="A66" s="104" t="s">
        <v>51</v>
      </c>
      <c r="B66" s="105" t="s">
        <v>185</v>
      </c>
      <c r="C66" s="37" t="s">
        <v>193</v>
      </c>
      <c r="D66" s="106">
        <v>2024</v>
      </c>
      <c r="E66" s="107" t="s">
        <v>187</v>
      </c>
      <c r="F66" s="110">
        <v>2599</v>
      </c>
      <c r="G66" s="136">
        <v>61119</v>
      </c>
      <c r="H66" s="109" t="s">
        <v>164</v>
      </c>
    </row>
    <row r="67" spans="1:8" ht="19.899999999999999">
      <c r="A67" s="104" t="s">
        <v>51</v>
      </c>
      <c r="B67" s="105" t="s">
        <v>185</v>
      </c>
      <c r="C67" s="37" t="s">
        <v>194</v>
      </c>
      <c r="D67" s="106">
        <v>2023</v>
      </c>
      <c r="E67" s="107" t="s">
        <v>187</v>
      </c>
      <c r="F67" s="110">
        <v>2804</v>
      </c>
      <c r="G67" s="136">
        <v>64285</v>
      </c>
      <c r="H67" s="109" t="s">
        <v>164</v>
      </c>
    </row>
    <row r="68" spans="1:8" ht="19.899999999999999">
      <c r="A68" s="104" t="s">
        <v>51</v>
      </c>
      <c r="B68" s="105" t="s">
        <v>185</v>
      </c>
      <c r="C68" s="37" t="s">
        <v>195</v>
      </c>
      <c r="D68" s="106">
        <v>2022</v>
      </c>
      <c r="E68" s="107" t="s">
        <v>187</v>
      </c>
      <c r="F68" s="110">
        <v>3010</v>
      </c>
      <c r="G68" s="136">
        <v>68482</v>
      </c>
      <c r="H68" s="109" t="s">
        <v>164</v>
      </c>
    </row>
    <row r="69" spans="1:8" ht="19.899999999999999">
      <c r="A69" s="104" t="s">
        <v>51</v>
      </c>
      <c r="B69" s="105" t="s">
        <v>185</v>
      </c>
      <c r="C69" s="37" t="s">
        <v>196</v>
      </c>
      <c r="D69" s="106">
        <v>2021</v>
      </c>
      <c r="E69" s="107" t="s">
        <v>187</v>
      </c>
      <c r="F69" s="110">
        <v>2194</v>
      </c>
      <c r="G69" s="136">
        <v>53255</v>
      </c>
      <c r="H69" s="109" t="s">
        <v>164</v>
      </c>
    </row>
    <row r="70" spans="1:8" ht="19.899999999999999">
      <c r="A70" s="104" t="s">
        <v>51</v>
      </c>
      <c r="B70" s="105" t="s">
        <v>185</v>
      </c>
      <c r="C70" s="37" t="s">
        <v>197</v>
      </c>
      <c r="D70" s="106">
        <v>2020</v>
      </c>
      <c r="E70" s="107" t="s">
        <v>187</v>
      </c>
      <c r="F70" s="110">
        <v>1688</v>
      </c>
      <c r="G70" s="136">
        <v>37647</v>
      </c>
      <c r="H70" s="109" t="s">
        <v>164</v>
      </c>
    </row>
    <row r="71" spans="1:8" ht="19.899999999999999">
      <c r="A71" s="104" t="s">
        <v>51</v>
      </c>
      <c r="B71" s="105" t="s">
        <v>185</v>
      </c>
      <c r="C71" s="37" t="s">
        <v>198</v>
      </c>
      <c r="D71" s="106">
        <v>2024</v>
      </c>
      <c r="E71" s="107" t="s">
        <v>189</v>
      </c>
      <c r="F71" s="110">
        <v>474</v>
      </c>
      <c r="G71" s="136">
        <v>16266</v>
      </c>
      <c r="H71" s="109" t="s">
        <v>164</v>
      </c>
    </row>
    <row r="72" spans="1:8" ht="19.899999999999999">
      <c r="A72" s="104" t="s">
        <v>51</v>
      </c>
      <c r="B72" s="105" t="s">
        <v>185</v>
      </c>
      <c r="C72" s="37" t="s">
        <v>199</v>
      </c>
      <c r="D72" s="106">
        <v>2023</v>
      </c>
      <c r="E72" s="107" t="s">
        <v>189</v>
      </c>
      <c r="F72" s="110">
        <v>372</v>
      </c>
      <c r="G72" s="136">
        <v>11745</v>
      </c>
      <c r="H72" s="109" t="s">
        <v>164</v>
      </c>
    </row>
    <row r="73" spans="1:8" ht="19.899999999999999">
      <c r="A73" s="104" t="s">
        <v>51</v>
      </c>
      <c r="B73" s="105" t="s">
        <v>185</v>
      </c>
      <c r="C73" s="37" t="s">
        <v>200</v>
      </c>
      <c r="D73" s="106">
        <v>2022</v>
      </c>
      <c r="E73" s="107" t="s">
        <v>189</v>
      </c>
      <c r="F73" s="110">
        <v>253</v>
      </c>
      <c r="G73" s="136">
        <v>8917</v>
      </c>
      <c r="H73" s="109" t="s">
        <v>164</v>
      </c>
    </row>
    <row r="74" spans="1:8" ht="19.899999999999999">
      <c r="A74" s="104" t="s">
        <v>51</v>
      </c>
      <c r="B74" s="105" t="s">
        <v>185</v>
      </c>
      <c r="C74" s="37" t="s">
        <v>201</v>
      </c>
      <c r="D74" s="106">
        <v>2021</v>
      </c>
      <c r="E74" s="107" t="s">
        <v>189</v>
      </c>
      <c r="F74" s="110">
        <v>209</v>
      </c>
      <c r="G74" s="136">
        <v>8661</v>
      </c>
      <c r="H74" s="109" t="s">
        <v>164</v>
      </c>
    </row>
    <row r="75" spans="1:8" ht="19.899999999999999">
      <c r="A75" s="104" t="s">
        <v>51</v>
      </c>
      <c r="B75" s="105" t="s">
        <v>185</v>
      </c>
      <c r="C75" s="37" t="s">
        <v>202</v>
      </c>
      <c r="D75" s="106">
        <v>2020</v>
      </c>
      <c r="E75" s="107" t="s">
        <v>189</v>
      </c>
      <c r="F75" s="110">
        <v>170</v>
      </c>
      <c r="G75" s="136">
        <v>5328</v>
      </c>
      <c r="H75" s="109" t="s">
        <v>164</v>
      </c>
    </row>
    <row r="76" spans="1:8" ht="19.899999999999999">
      <c r="A76" s="104" t="s">
        <v>51</v>
      </c>
      <c r="B76" s="105" t="s">
        <v>203</v>
      </c>
      <c r="C76" s="37" t="s">
        <v>204</v>
      </c>
      <c r="D76" s="106">
        <v>2025</v>
      </c>
      <c r="E76" s="107" t="s">
        <v>205</v>
      </c>
      <c r="F76" s="119">
        <v>7.7</v>
      </c>
      <c r="G76" s="142">
        <v>7.2</v>
      </c>
      <c r="H76" s="109" t="s">
        <v>164</v>
      </c>
    </row>
    <row r="77" spans="1:8" ht="19.899999999999999">
      <c r="A77" s="104" t="s">
        <v>51</v>
      </c>
      <c r="B77" s="105" t="s">
        <v>203</v>
      </c>
      <c r="C77" s="37" t="s">
        <v>31</v>
      </c>
      <c r="D77" s="106">
        <v>2025</v>
      </c>
      <c r="E77" s="107" t="s">
        <v>206</v>
      </c>
      <c r="F77" s="120">
        <v>1.19</v>
      </c>
      <c r="G77" s="142">
        <v>0.99</v>
      </c>
      <c r="H77" s="109" t="s">
        <v>164</v>
      </c>
    </row>
    <row r="78" spans="1:8" ht="19.899999999999999">
      <c r="A78" s="104" t="s">
        <v>51</v>
      </c>
      <c r="B78" s="105" t="s">
        <v>203</v>
      </c>
      <c r="C78" s="37" t="s">
        <v>207</v>
      </c>
      <c r="D78" s="106">
        <v>2024</v>
      </c>
      <c r="E78" s="107" t="s">
        <v>205</v>
      </c>
      <c r="F78" s="115">
        <v>8.1</v>
      </c>
      <c r="G78" s="142">
        <v>7.7</v>
      </c>
      <c r="H78" s="109" t="s">
        <v>164</v>
      </c>
    </row>
    <row r="79" spans="1:8" ht="19.899999999999999">
      <c r="A79" s="104" t="s">
        <v>51</v>
      </c>
      <c r="B79" s="105" t="s">
        <v>203</v>
      </c>
      <c r="C79" s="37" t="s">
        <v>208</v>
      </c>
      <c r="D79" s="106">
        <v>2023</v>
      </c>
      <c r="E79" s="107" t="s">
        <v>205</v>
      </c>
      <c r="F79" s="115">
        <v>8.9</v>
      </c>
      <c r="G79" s="142">
        <v>8.6999999999999993</v>
      </c>
      <c r="H79" s="109" t="s">
        <v>164</v>
      </c>
    </row>
    <row r="80" spans="1:8" ht="19.899999999999999">
      <c r="A80" s="104" t="s">
        <v>51</v>
      </c>
      <c r="B80" s="105" t="s">
        <v>203</v>
      </c>
      <c r="C80" s="37" t="s">
        <v>209</v>
      </c>
      <c r="D80" s="106">
        <v>2022</v>
      </c>
      <c r="E80" s="107" t="s">
        <v>205</v>
      </c>
      <c r="F80" s="115">
        <v>10</v>
      </c>
      <c r="G80" s="142">
        <v>9.6</v>
      </c>
      <c r="H80" s="109" t="s">
        <v>164</v>
      </c>
    </row>
    <row r="81" spans="1:8" ht="19.899999999999999">
      <c r="A81" s="104" t="s">
        <v>51</v>
      </c>
      <c r="B81" s="105" t="s">
        <v>203</v>
      </c>
      <c r="C81" s="37" t="s">
        <v>210</v>
      </c>
      <c r="D81" s="106">
        <v>2021</v>
      </c>
      <c r="E81" s="107" t="s">
        <v>205</v>
      </c>
      <c r="F81" s="115">
        <v>9.3000000000000007</v>
      </c>
      <c r="G81" s="142">
        <v>9</v>
      </c>
      <c r="H81" s="109" t="s">
        <v>164</v>
      </c>
    </row>
    <row r="82" spans="1:8" ht="39.6">
      <c r="A82" s="104" t="s">
        <v>51</v>
      </c>
      <c r="B82" s="105" t="s">
        <v>203</v>
      </c>
      <c r="C82" s="37" t="s">
        <v>211</v>
      </c>
      <c r="D82" s="106">
        <v>2021</v>
      </c>
      <c r="E82" s="107" t="s">
        <v>205</v>
      </c>
      <c r="F82" s="115">
        <v>10.4</v>
      </c>
      <c r="G82" s="142">
        <v>10</v>
      </c>
      <c r="H82" s="109" t="s">
        <v>164</v>
      </c>
    </row>
    <row r="83" spans="1:8" ht="19.899999999999999">
      <c r="A83" s="104" t="s">
        <v>51</v>
      </c>
      <c r="B83" s="105" t="s">
        <v>203</v>
      </c>
      <c r="C83" s="37" t="s">
        <v>212</v>
      </c>
      <c r="D83" s="106">
        <v>2024</v>
      </c>
      <c r="E83" s="107" t="s">
        <v>206</v>
      </c>
      <c r="F83" s="115">
        <v>1.23</v>
      </c>
      <c r="G83" s="142">
        <v>1.03</v>
      </c>
      <c r="H83" s="109" t="s">
        <v>164</v>
      </c>
    </row>
    <row r="84" spans="1:8" ht="19.899999999999999">
      <c r="A84" s="104" t="s">
        <v>51</v>
      </c>
      <c r="B84" s="105" t="s">
        <v>203</v>
      </c>
      <c r="C84" s="37" t="s">
        <v>213</v>
      </c>
      <c r="D84" s="106">
        <v>2023</v>
      </c>
      <c r="E84" s="107" t="s">
        <v>206</v>
      </c>
      <c r="F84" s="115">
        <v>1.35</v>
      </c>
      <c r="G84" s="142">
        <v>1.1599999999999999</v>
      </c>
      <c r="H84" s="109" t="s">
        <v>164</v>
      </c>
    </row>
    <row r="85" spans="1:8" ht="19.899999999999999">
      <c r="A85" s="104" t="s">
        <v>51</v>
      </c>
      <c r="B85" s="105" t="s">
        <v>203</v>
      </c>
      <c r="C85" s="37" t="s">
        <v>214</v>
      </c>
      <c r="D85" s="106">
        <v>2022</v>
      </c>
      <c r="E85" s="107" t="s">
        <v>206</v>
      </c>
      <c r="F85" s="115">
        <v>1.5</v>
      </c>
      <c r="G85" s="142">
        <v>1.3</v>
      </c>
      <c r="H85" s="109" t="s">
        <v>164</v>
      </c>
    </row>
    <row r="86" spans="1:8" ht="19.899999999999999">
      <c r="A86" s="104" t="s">
        <v>51</v>
      </c>
      <c r="B86" s="105" t="s">
        <v>203</v>
      </c>
      <c r="C86" s="37" t="s">
        <v>215</v>
      </c>
      <c r="D86" s="106">
        <v>2021</v>
      </c>
      <c r="E86" s="107" t="s">
        <v>206</v>
      </c>
      <c r="F86" s="115">
        <v>1.3574999999999999</v>
      </c>
      <c r="G86" s="142">
        <v>1.1739999999999999</v>
      </c>
      <c r="H86" s="109" t="s">
        <v>164</v>
      </c>
    </row>
    <row r="87" spans="1:8" ht="19.899999999999999">
      <c r="A87" s="104" t="s">
        <v>51</v>
      </c>
      <c r="B87" s="105" t="s">
        <v>216</v>
      </c>
      <c r="C87" s="37" t="s">
        <v>217</v>
      </c>
      <c r="D87" s="106">
        <v>2024</v>
      </c>
      <c r="E87" s="107" t="s">
        <v>218</v>
      </c>
      <c r="F87" s="116">
        <v>83.1</v>
      </c>
      <c r="G87" s="143">
        <v>79</v>
      </c>
      <c r="H87" s="109" t="s">
        <v>141</v>
      </c>
    </row>
    <row r="88" spans="1:8" ht="19.899999999999999">
      <c r="A88" s="104" t="s">
        <v>53</v>
      </c>
      <c r="B88" s="105" t="s">
        <v>219</v>
      </c>
      <c r="C88" s="37" t="s">
        <v>220</v>
      </c>
      <c r="D88" s="106">
        <v>2025</v>
      </c>
      <c r="E88" s="107" t="s">
        <v>221</v>
      </c>
      <c r="F88" s="117"/>
      <c r="G88" s="144">
        <v>197978</v>
      </c>
      <c r="H88" s="109" t="s">
        <v>222</v>
      </c>
    </row>
    <row r="89" spans="1:8" ht="19.899999999999999">
      <c r="A89" s="104" t="s">
        <v>53</v>
      </c>
      <c r="B89" s="105" t="s">
        <v>219</v>
      </c>
      <c r="C89" s="37" t="s">
        <v>223</v>
      </c>
      <c r="D89" s="106">
        <v>2025</v>
      </c>
      <c r="E89" s="107" t="s">
        <v>221</v>
      </c>
      <c r="F89" s="117">
        <v>1561</v>
      </c>
      <c r="G89" s="144">
        <v>7188</v>
      </c>
      <c r="H89" s="109" t="s">
        <v>222</v>
      </c>
    </row>
    <row r="90" spans="1:8" ht="19.899999999999999">
      <c r="A90" s="104" t="s">
        <v>53</v>
      </c>
      <c r="B90" s="105" t="s">
        <v>219</v>
      </c>
      <c r="C90" s="37" t="s">
        <v>224</v>
      </c>
      <c r="D90" s="106">
        <v>2025</v>
      </c>
      <c r="E90" s="107" t="s">
        <v>221</v>
      </c>
      <c r="F90" s="117">
        <v>5</v>
      </c>
      <c r="G90" s="144">
        <v>1534</v>
      </c>
      <c r="H90" s="109" t="s">
        <v>222</v>
      </c>
    </row>
    <row r="91" spans="1:8" ht="19.899999999999999">
      <c r="A91" s="104" t="s">
        <v>53</v>
      </c>
      <c r="B91" s="105" t="s">
        <v>219</v>
      </c>
      <c r="C91" s="37" t="s">
        <v>225</v>
      </c>
      <c r="D91" s="106">
        <v>2025</v>
      </c>
      <c r="E91" s="107" t="s">
        <v>221</v>
      </c>
      <c r="F91" s="117">
        <v>785</v>
      </c>
      <c r="G91" s="144">
        <v>15133</v>
      </c>
      <c r="H91" s="109" t="s">
        <v>222</v>
      </c>
    </row>
    <row r="92" spans="1:8" ht="19.899999999999999">
      <c r="A92" s="104" t="s">
        <v>53</v>
      </c>
      <c r="B92" s="105" t="s">
        <v>219</v>
      </c>
      <c r="C92" s="37" t="s">
        <v>226</v>
      </c>
      <c r="D92" s="106">
        <v>2025</v>
      </c>
      <c r="E92" s="107" t="s">
        <v>221</v>
      </c>
      <c r="F92" s="117">
        <v>880</v>
      </c>
      <c r="G92" s="144">
        <v>19570</v>
      </c>
      <c r="H92" s="109" t="s">
        <v>222</v>
      </c>
    </row>
    <row r="93" spans="1:8" ht="19.899999999999999">
      <c r="A93" s="104" t="s">
        <v>53</v>
      </c>
      <c r="B93" s="105" t="s">
        <v>219</v>
      </c>
      <c r="C93" s="37" t="s">
        <v>227</v>
      </c>
      <c r="D93" s="106">
        <v>2025</v>
      </c>
      <c r="E93" s="107" t="s">
        <v>221</v>
      </c>
      <c r="F93" s="117">
        <v>355</v>
      </c>
      <c r="G93" s="144">
        <v>8202</v>
      </c>
      <c r="H93" s="109" t="s">
        <v>222</v>
      </c>
    </row>
    <row r="94" spans="1:8" ht="19.899999999999999">
      <c r="A94" s="104" t="s">
        <v>53</v>
      </c>
      <c r="B94" s="105" t="s">
        <v>219</v>
      </c>
      <c r="C94" s="37" t="s">
        <v>228</v>
      </c>
      <c r="D94" s="106">
        <v>2025</v>
      </c>
      <c r="E94" s="107" t="s">
        <v>221</v>
      </c>
      <c r="F94" s="117">
        <v>592</v>
      </c>
      <c r="G94" s="144">
        <v>12589</v>
      </c>
      <c r="H94" s="109" t="s">
        <v>222</v>
      </c>
    </row>
    <row r="95" spans="1:8" ht="19.899999999999999">
      <c r="A95" s="104" t="s">
        <v>53</v>
      </c>
      <c r="B95" s="105" t="s">
        <v>219</v>
      </c>
      <c r="C95" s="37" t="s">
        <v>229</v>
      </c>
      <c r="D95" s="106">
        <v>2025</v>
      </c>
      <c r="E95" s="107" t="s">
        <v>221</v>
      </c>
      <c r="F95" s="117">
        <v>918</v>
      </c>
      <c r="G95" s="144">
        <v>20959</v>
      </c>
      <c r="H95" s="109" t="s">
        <v>222</v>
      </c>
    </row>
    <row r="96" spans="1:8" ht="19.899999999999999">
      <c r="A96" s="104" t="s">
        <v>53</v>
      </c>
      <c r="B96" s="105" t="s">
        <v>219</v>
      </c>
      <c r="C96" s="37" t="s">
        <v>230</v>
      </c>
      <c r="D96" s="106">
        <v>2025</v>
      </c>
      <c r="E96" s="107" t="s">
        <v>221</v>
      </c>
      <c r="F96" s="117">
        <v>156</v>
      </c>
      <c r="G96" s="144">
        <v>4152</v>
      </c>
      <c r="H96" s="109" t="s">
        <v>222</v>
      </c>
    </row>
    <row r="97" spans="1:8" ht="19.899999999999999">
      <c r="A97" s="104" t="s">
        <v>53</v>
      </c>
      <c r="B97" s="105" t="s">
        <v>219</v>
      </c>
      <c r="C97" s="37" t="s">
        <v>231</v>
      </c>
      <c r="D97" s="106">
        <v>2025</v>
      </c>
      <c r="E97" s="107" t="s">
        <v>221</v>
      </c>
      <c r="F97" s="117">
        <v>553</v>
      </c>
      <c r="G97" s="144">
        <v>20872</v>
      </c>
      <c r="H97" s="109" t="s">
        <v>222</v>
      </c>
    </row>
    <row r="98" spans="1:8" ht="19.899999999999999">
      <c r="A98" s="104" t="s">
        <v>53</v>
      </c>
      <c r="B98" s="105" t="s">
        <v>219</v>
      </c>
      <c r="C98" s="37" t="s">
        <v>232</v>
      </c>
      <c r="D98" s="106">
        <v>2025</v>
      </c>
      <c r="E98" s="107" t="s">
        <v>221</v>
      </c>
      <c r="F98" s="117">
        <v>882</v>
      </c>
      <c r="G98" s="144">
        <v>31265</v>
      </c>
      <c r="H98" s="109" t="s">
        <v>222</v>
      </c>
    </row>
    <row r="99" spans="1:8" ht="19.899999999999999">
      <c r="A99" s="104" t="s">
        <v>53</v>
      </c>
      <c r="B99" s="105" t="s">
        <v>219</v>
      </c>
      <c r="C99" s="37" t="s">
        <v>233</v>
      </c>
      <c r="D99" s="106">
        <v>2025</v>
      </c>
      <c r="E99" s="107" t="s">
        <v>221</v>
      </c>
      <c r="F99" s="117">
        <v>812</v>
      </c>
      <c r="G99" s="144">
        <v>16816</v>
      </c>
      <c r="H99" s="109" t="s">
        <v>222</v>
      </c>
    </row>
    <row r="100" spans="1:8" ht="19.899999999999999">
      <c r="A100" s="104" t="s">
        <v>53</v>
      </c>
      <c r="B100" s="105" t="s">
        <v>219</v>
      </c>
      <c r="C100" s="37" t="s">
        <v>234</v>
      </c>
      <c r="D100" s="106">
        <v>2025</v>
      </c>
      <c r="E100" s="107" t="s">
        <v>221</v>
      </c>
      <c r="F100" s="117">
        <v>1273</v>
      </c>
      <c r="G100" s="144">
        <v>29402</v>
      </c>
      <c r="H100" s="109" t="s">
        <v>222</v>
      </c>
    </row>
    <row r="101" spans="1:8" ht="19.899999999999999">
      <c r="A101" s="104" t="s">
        <v>53</v>
      </c>
      <c r="B101" s="105" t="s">
        <v>219</v>
      </c>
      <c r="C101" s="37" t="s">
        <v>235</v>
      </c>
      <c r="D101" s="106">
        <v>2025</v>
      </c>
      <c r="E101" s="107" t="s">
        <v>221</v>
      </c>
      <c r="F101" s="117">
        <v>343</v>
      </c>
      <c r="G101" s="144">
        <v>10296</v>
      </c>
      <c r="H101" s="109" t="s">
        <v>222</v>
      </c>
    </row>
    <row r="102" spans="1:8" ht="19.899999999999999">
      <c r="A102" s="104" t="s">
        <v>53</v>
      </c>
      <c r="B102" s="105" t="s">
        <v>236</v>
      </c>
      <c r="C102" s="37" t="s">
        <v>237</v>
      </c>
      <c r="D102" s="106">
        <v>2025</v>
      </c>
      <c r="E102" s="107" t="s">
        <v>113</v>
      </c>
      <c r="F102" s="113">
        <v>0.17125617114646199</v>
      </c>
      <c r="G102" s="137">
        <v>3.6307064421299301E-2</v>
      </c>
      <c r="H102" s="109" t="s">
        <v>222</v>
      </c>
    </row>
    <row r="103" spans="1:8" ht="19.899999999999999">
      <c r="A103" s="104" t="s">
        <v>53</v>
      </c>
      <c r="B103" s="105" t="s">
        <v>236</v>
      </c>
      <c r="C103" s="37" t="s">
        <v>238</v>
      </c>
      <c r="D103" s="106">
        <v>2025</v>
      </c>
      <c r="E103" s="107" t="s">
        <v>113</v>
      </c>
      <c r="F103" s="113">
        <v>5.4854635216675801E-4</v>
      </c>
      <c r="G103" s="137">
        <v>7.74833567366071E-3</v>
      </c>
      <c r="H103" s="109" t="s">
        <v>222</v>
      </c>
    </row>
    <row r="104" spans="1:8" ht="19.899999999999999">
      <c r="A104" s="104" t="s">
        <v>53</v>
      </c>
      <c r="B104" s="105" t="s">
        <v>236</v>
      </c>
      <c r="C104" s="37" t="s">
        <v>239</v>
      </c>
      <c r="D104" s="106">
        <v>2025</v>
      </c>
      <c r="E104" s="107" t="s">
        <v>113</v>
      </c>
      <c r="F104" s="113">
        <v>8.6121777290181001E-2</v>
      </c>
      <c r="G104" s="137">
        <v>7.6437786016628095E-2</v>
      </c>
      <c r="H104" s="109" t="s">
        <v>222</v>
      </c>
    </row>
    <row r="105" spans="1:8" ht="19.899999999999999">
      <c r="A105" s="104" t="s">
        <v>53</v>
      </c>
      <c r="B105" s="105" t="s">
        <v>236</v>
      </c>
      <c r="C105" s="37" t="s">
        <v>240</v>
      </c>
      <c r="D105" s="106">
        <v>2025</v>
      </c>
      <c r="E105" s="107" t="s">
        <v>113</v>
      </c>
      <c r="F105" s="113">
        <v>9.6544157981349396E-2</v>
      </c>
      <c r="G105" s="144">
        <v>9.8849367101395094E-2</v>
      </c>
      <c r="H105" s="109" t="s">
        <v>222</v>
      </c>
    </row>
    <row r="106" spans="1:8" ht="39.6">
      <c r="A106" s="104" t="s">
        <v>53</v>
      </c>
      <c r="B106" s="105" t="s">
        <v>236</v>
      </c>
      <c r="C106" s="37" t="s">
        <v>241</v>
      </c>
      <c r="D106" s="106">
        <v>2025</v>
      </c>
      <c r="E106" s="107" t="s">
        <v>113</v>
      </c>
      <c r="F106" s="113">
        <v>3.8946791003839798E-2</v>
      </c>
      <c r="G106" s="137">
        <v>4.14288456293124E-2</v>
      </c>
      <c r="H106" s="109" t="s">
        <v>222</v>
      </c>
    </row>
    <row r="107" spans="1:8" ht="19.899999999999999">
      <c r="A107" s="104" t="s">
        <v>53</v>
      </c>
      <c r="B107" s="105" t="s">
        <v>236</v>
      </c>
      <c r="C107" s="37" t="s">
        <v>242</v>
      </c>
      <c r="D107" s="106">
        <v>2025</v>
      </c>
      <c r="E107" s="107" t="s">
        <v>113</v>
      </c>
      <c r="F107" s="113">
        <v>6.4947888096544198E-2</v>
      </c>
      <c r="G107" s="137">
        <v>6.3587873400074796E-2</v>
      </c>
      <c r="H107" s="109" t="s">
        <v>222</v>
      </c>
    </row>
    <row r="108" spans="1:8" ht="19.899999999999999">
      <c r="A108" s="104" t="s">
        <v>53</v>
      </c>
      <c r="B108" s="105" t="s">
        <v>236</v>
      </c>
      <c r="C108" s="37" t="s">
        <v>243</v>
      </c>
      <c r="D108" s="106">
        <v>2025</v>
      </c>
      <c r="E108" s="107" t="s">
        <v>113</v>
      </c>
      <c r="F108" s="113">
        <v>0.100713110257817</v>
      </c>
      <c r="G108" s="144">
        <v>0.105865298164443</v>
      </c>
      <c r="H108" s="109" t="s">
        <v>222</v>
      </c>
    </row>
    <row r="109" spans="1:8" ht="19.899999999999999">
      <c r="A109" s="104" t="s">
        <v>53</v>
      </c>
      <c r="B109" s="105" t="s">
        <v>236</v>
      </c>
      <c r="C109" s="37" t="s">
        <v>244</v>
      </c>
      <c r="D109" s="106">
        <v>2025</v>
      </c>
      <c r="E109" s="107" t="s">
        <v>113</v>
      </c>
      <c r="F109" s="113">
        <v>1.7114646187602899E-2</v>
      </c>
      <c r="G109" s="137">
        <v>2.0972027194940901E-2</v>
      </c>
      <c r="H109" s="109" t="s">
        <v>222</v>
      </c>
    </row>
    <row r="110" spans="1:8" ht="39.6">
      <c r="A110" s="104" t="s">
        <v>53</v>
      </c>
      <c r="B110" s="105" t="s">
        <v>236</v>
      </c>
      <c r="C110" s="37" t="s">
        <v>245</v>
      </c>
      <c r="D110" s="106">
        <v>2025</v>
      </c>
      <c r="E110" s="107" t="s">
        <v>113</v>
      </c>
      <c r="F110" s="113">
        <v>6.06692265496434E-2</v>
      </c>
      <c r="G110" s="144">
        <v>0.105425855398075</v>
      </c>
      <c r="H110" s="109" t="s">
        <v>222</v>
      </c>
    </row>
    <row r="111" spans="1:8" ht="39.6">
      <c r="A111" s="104" t="s">
        <v>53</v>
      </c>
      <c r="B111" s="105" t="s">
        <v>236</v>
      </c>
      <c r="C111" s="37" t="s">
        <v>246</v>
      </c>
      <c r="D111" s="106">
        <v>2025</v>
      </c>
      <c r="E111" s="107" t="s">
        <v>113</v>
      </c>
      <c r="F111" s="113">
        <v>9.6763576522216094E-2</v>
      </c>
      <c r="G111" s="137">
        <v>0.15792158724706801</v>
      </c>
      <c r="H111" s="109" t="s">
        <v>222</v>
      </c>
    </row>
    <row r="112" spans="1:8" ht="39.6">
      <c r="A112" s="104" t="s">
        <v>53</v>
      </c>
      <c r="B112" s="105" t="s">
        <v>236</v>
      </c>
      <c r="C112" s="37" t="s">
        <v>247</v>
      </c>
      <c r="D112" s="106">
        <v>2025</v>
      </c>
      <c r="E112" s="107" t="s">
        <v>113</v>
      </c>
      <c r="F112" s="113">
        <v>8.9083927591881495E-2</v>
      </c>
      <c r="G112" s="144">
        <v>8.4938730566022497E-2</v>
      </c>
      <c r="H112" s="109" t="s">
        <v>222</v>
      </c>
    </row>
    <row r="113" spans="1:8" ht="19.899999999999999">
      <c r="A113" s="104" t="s">
        <v>53</v>
      </c>
      <c r="B113" s="105" t="s">
        <v>236</v>
      </c>
      <c r="C113" s="37" t="s">
        <v>248</v>
      </c>
      <c r="D113" s="106">
        <v>2025</v>
      </c>
      <c r="E113" s="107" t="s">
        <v>113</v>
      </c>
      <c r="F113" s="113">
        <v>0.139659901261657</v>
      </c>
      <c r="G113" s="137">
        <v>0.148511450767257</v>
      </c>
      <c r="H113" s="109" t="s">
        <v>222</v>
      </c>
    </row>
    <row r="114" spans="1:8" ht="19.899999999999999">
      <c r="A114" s="104" t="s">
        <v>53</v>
      </c>
      <c r="B114" s="105" t="s">
        <v>236</v>
      </c>
      <c r="C114" s="37" t="s">
        <v>249</v>
      </c>
      <c r="D114" s="106">
        <v>2025</v>
      </c>
      <c r="E114" s="107" t="s">
        <v>113</v>
      </c>
      <c r="F114" s="113">
        <v>3.7630279758639598E-2</v>
      </c>
      <c r="G114" s="144">
        <v>5.20057784198244E-2</v>
      </c>
      <c r="H114" s="109" t="s">
        <v>222</v>
      </c>
    </row>
    <row r="115" spans="1:8" ht="19.899999999999999">
      <c r="A115" s="104" t="s">
        <v>53</v>
      </c>
      <c r="B115" s="105" t="s">
        <v>250</v>
      </c>
      <c r="C115" s="37" t="s">
        <v>251</v>
      </c>
      <c r="D115" s="106">
        <v>2025</v>
      </c>
      <c r="E115" s="107" t="s">
        <v>252</v>
      </c>
      <c r="F115" s="117">
        <v>14940</v>
      </c>
      <c r="G115" s="144">
        <v>17680</v>
      </c>
      <c r="H115" s="109" t="s">
        <v>222</v>
      </c>
    </row>
    <row r="116" spans="1:8" ht="19.899999999999999">
      <c r="A116" s="104" t="s">
        <v>53</v>
      </c>
      <c r="B116" s="105" t="s">
        <v>250</v>
      </c>
      <c r="C116" s="37" t="s">
        <v>253</v>
      </c>
      <c r="D116" s="106">
        <v>2025</v>
      </c>
      <c r="E116" s="107" t="s">
        <v>252</v>
      </c>
      <c r="F116" s="117">
        <v>7605</v>
      </c>
      <c r="G116" s="144">
        <v>10032</v>
      </c>
      <c r="H116" s="109" t="s">
        <v>222</v>
      </c>
    </row>
    <row r="117" spans="1:8" ht="19.899999999999999">
      <c r="A117" s="104" t="s">
        <v>53</v>
      </c>
      <c r="B117" s="105" t="s">
        <v>250</v>
      </c>
      <c r="C117" s="37" t="s">
        <v>254</v>
      </c>
      <c r="D117" s="106">
        <v>2024</v>
      </c>
      <c r="E117" s="107" t="s">
        <v>252</v>
      </c>
      <c r="F117" s="117">
        <v>14678</v>
      </c>
      <c r="G117" s="144">
        <v>14804</v>
      </c>
      <c r="H117" s="109" t="s">
        <v>222</v>
      </c>
    </row>
    <row r="118" spans="1:8" ht="19.899999999999999">
      <c r="A118" s="104" t="s">
        <v>53</v>
      </c>
      <c r="B118" s="105" t="s">
        <v>250</v>
      </c>
      <c r="C118" s="37" t="s">
        <v>255</v>
      </c>
      <c r="D118" s="106">
        <v>2024</v>
      </c>
      <c r="E118" s="107" t="s">
        <v>252</v>
      </c>
      <c r="F118" s="117">
        <v>7322</v>
      </c>
      <c r="G118" s="144">
        <v>9554</v>
      </c>
      <c r="H118" s="109" t="s">
        <v>222</v>
      </c>
    </row>
    <row r="119" spans="1:8" ht="19.899999999999999">
      <c r="A119" s="104" t="s">
        <v>53</v>
      </c>
      <c r="B119" s="105" t="s">
        <v>256</v>
      </c>
      <c r="C119" s="37" t="s">
        <v>36</v>
      </c>
      <c r="D119" s="106">
        <v>2024</v>
      </c>
      <c r="E119" s="107" t="s">
        <v>113</v>
      </c>
      <c r="F119" s="111">
        <v>0.17899999999999999</v>
      </c>
      <c r="G119" s="137">
        <v>0.17299999999999999</v>
      </c>
      <c r="H119" s="109" t="s">
        <v>257</v>
      </c>
    </row>
    <row r="120" spans="1:8" ht="19.899999999999999">
      <c r="A120" s="104" t="s">
        <v>53</v>
      </c>
      <c r="B120" s="105" t="s">
        <v>256</v>
      </c>
      <c r="C120" s="37" t="s">
        <v>258</v>
      </c>
      <c r="D120" s="106">
        <v>2024</v>
      </c>
      <c r="E120" s="107" t="s">
        <v>113</v>
      </c>
      <c r="F120" s="111">
        <v>0.17899999999999999</v>
      </c>
      <c r="G120" s="137">
        <v>0.17699999999999999</v>
      </c>
      <c r="H120" s="109" t="s">
        <v>257</v>
      </c>
    </row>
    <row r="121" spans="1:8" ht="19.899999999999999">
      <c r="A121" s="104" t="s">
        <v>53</v>
      </c>
      <c r="B121" s="105" t="s">
        <v>256</v>
      </c>
      <c r="C121" s="37" t="s">
        <v>259</v>
      </c>
      <c r="D121" s="106">
        <v>2024</v>
      </c>
      <c r="E121" s="107" t="s">
        <v>113</v>
      </c>
      <c r="F121" s="111">
        <v>6.2E-2</v>
      </c>
      <c r="G121" s="137">
        <v>6.0999999999999999E-2</v>
      </c>
      <c r="H121" s="109" t="s">
        <v>257</v>
      </c>
    </row>
    <row r="122" spans="1:8" ht="19.899999999999999">
      <c r="A122" s="104" t="s">
        <v>53</v>
      </c>
      <c r="B122" s="105" t="s">
        <v>256</v>
      </c>
      <c r="C122" s="37" t="s">
        <v>260</v>
      </c>
      <c r="D122" s="106">
        <v>2022</v>
      </c>
      <c r="E122" s="107" t="s">
        <v>113</v>
      </c>
      <c r="F122" s="111">
        <v>8.2000000000000003E-2</v>
      </c>
      <c r="G122" s="137">
        <v>7.8E-2</v>
      </c>
      <c r="H122" s="109" t="s">
        <v>257</v>
      </c>
    </row>
    <row r="123" spans="1:8" ht="19.899999999999999">
      <c r="A123" s="104" t="s">
        <v>53</v>
      </c>
      <c r="B123" s="105" t="s">
        <v>261</v>
      </c>
      <c r="C123" s="37" t="s">
        <v>262</v>
      </c>
      <c r="D123" s="106">
        <v>2025</v>
      </c>
      <c r="E123" s="107" t="s">
        <v>263</v>
      </c>
      <c r="F123" s="118">
        <v>789</v>
      </c>
      <c r="G123" s="145">
        <v>962.9</v>
      </c>
      <c r="H123" s="109" t="s">
        <v>264</v>
      </c>
    </row>
    <row r="124" spans="1:8" ht="19.899999999999999">
      <c r="A124" s="104" t="s">
        <v>53</v>
      </c>
      <c r="B124" s="105" t="s">
        <v>261</v>
      </c>
      <c r="C124" s="37" t="s">
        <v>265</v>
      </c>
      <c r="D124" s="106">
        <v>2025</v>
      </c>
      <c r="E124" s="107" t="s">
        <v>263</v>
      </c>
      <c r="F124" s="118">
        <v>600</v>
      </c>
      <c r="G124" s="145">
        <v>680</v>
      </c>
      <c r="H124" s="109" t="s">
        <v>264</v>
      </c>
    </row>
    <row r="125" spans="1:8" ht="19.899999999999999">
      <c r="A125" s="104" t="s">
        <v>53</v>
      </c>
      <c r="B125" s="105" t="s">
        <v>266</v>
      </c>
      <c r="C125" s="37" t="s">
        <v>267</v>
      </c>
      <c r="D125" s="106">
        <v>2023</v>
      </c>
      <c r="E125" s="107" t="s">
        <v>268</v>
      </c>
      <c r="F125" s="116">
        <v>0.48407346876927898</v>
      </c>
      <c r="G125" s="143">
        <v>2.0613738014603999</v>
      </c>
      <c r="H125" s="109" t="s">
        <v>269</v>
      </c>
    </row>
    <row r="126" spans="1:8" ht="19.899999999999999">
      <c r="A126" s="104" t="s">
        <v>53</v>
      </c>
      <c r="B126" s="105" t="s">
        <v>266</v>
      </c>
      <c r="C126" s="37" t="s">
        <v>270</v>
      </c>
      <c r="D126" s="106">
        <v>2023</v>
      </c>
      <c r="E126" s="107" t="s">
        <v>268</v>
      </c>
      <c r="F126" s="116">
        <v>4.8918749255896001</v>
      </c>
      <c r="G126" s="143">
        <v>9.1489261370943495</v>
      </c>
      <c r="H126" s="109" t="s">
        <v>269</v>
      </c>
    </row>
    <row r="127" spans="1:8" ht="19.899999999999999">
      <c r="A127" s="104" t="s">
        <v>53</v>
      </c>
      <c r="B127" s="105" t="s">
        <v>266</v>
      </c>
      <c r="C127" s="37" t="s">
        <v>271</v>
      </c>
      <c r="D127" s="106">
        <v>2023</v>
      </c>
      <c r="E127" s="107" t="s">
        <v>268</v>
      </c>
      <c r="F127" s="116">
        <v>6.3275897524704297</v>
      </c>
      <c r="G127" s="143">
        <v>8.4110258498735408</v>
      </c>
      <c r="H127" s="109" t="s">
        <v>269</v>
      </c>
    </row>
    <row r="128" spans="1:8" ht="19.899999999999999">
      <c r="A128" s="104" t="s">
        <v>53</v>
      </c>
      <c r="B128" s="105" t="s">
        <v>266</v>
      </c>
      <c r="C128" s="37" t="s">
        <v>272</v>
      </c>
      <c r="D128" s="106">
        <v>2023</v>
      </c>
      <c r="E128" s="107" t="s">
        <v>268</v>
      </c>
      <c r="F128" s="116">
        <v>13.3478726743368</v>
      </c>
      <c r="G128" s="143">
        <v>14.690215915748601</v>
      </c>
      <c r="H128" s="109" t="s">
        <v>269</v>
      </c>
    </row>
    <row r="129" spans="1:8" ht="19.899999999999999">
      <c r="A129" s="104" t="s">
        <v>53</v>
      </c>
      <c r="B129" s="105" t="s">
        <v>266</v>
      </c>
      <c r="C129" s="37" t="s">
        <v>273</v>
      </c>
      <c r="D129" s="106">
        <v>2023</v>
      </c>
      <c r="E129" s="107" t="s">
        <v>268</v>
      </c>
      <c r="F129" s="116">
        <v>29.5912569134025</v>
      </c>
      <c r="G129" s="143">
        <v>29.025749846386901</v>
      </c>
      <c r="H129" s="109" t="s">
        <v>269</v>
      </c>
    </row>
    <row r="130" spans="1:8" ht="19.899999999999999">
      <c r="A130" s="104" t="s">
        <v>53</v>
      </c>
      <c r="B130" s="105" t="s">
        <v>266</v>
      </c>
      <c r="C130" s="37" t="s">
        <v>274</v>
      </c>
      <c r="D130" s="106">
        <v>2023</v>
      </c>
      <c r="E130" s="107" t="s">
        <v>268</v>
      </c>
      <c r="F130" s="116">
        <v>37.533417033757999</v>
      </c>
      <c r="G130" s="143">
        <v>30.5375173261314</v>
      </c>
      <c r="H130" s="109" t="s">
        <v>269</v>
      </c>
    </row>
    <row r="131" spans="1:8" ht="19.899999999999999">
      <c r="A131" s="104" t="s">
        <v>53</v>
      </c>
      <c r="B131" s="105" t="s">
        <v>266</v>
      </c>
      <c r="C131" s="37" t="s">
        <v>275</v>
      </c>
      <c r="D131" s="106">
        <v>2023</v>
      </c>
      <c r="E131" s="107" t="s">
        <v>268</v>
      </c>
      <c r="F131" s="116">
        <v>7.8239152316733902</v>
      </c>
      <c r="G131" s="143">
        <v>6.1251911233048997</v>
      </c>
      <c r="H131" s="109" t="s">
        <v>269</v>
      </c>
    </row>
    <row r="132" spans="1:8" ht="19.899999999999999">
      <c r="A132" s="104" t="s">
        <v>53</v>
      </c>
      <c r="B132" s="105" t="s">
        <v>276</v>
      </c>
      <c r="C132" s="37" t="s">
        <v>277</v>
      </c>
      <c r="D132" s="106">
        <v>2025</v>
      </c>
      <c r="E132" s="107" t="s">
        <v>104</v>
      </c>
      <c r="F132" s="108" t="s">
        <v>278</v>
      </c>
      <c r="G132" s="135" t="s">
        <v>77</v>
      </c>
      <c r="H132" s="109" t="s">
        <v>279</v>
      </c>
    </row>
    <row r="133" spans="1:8" ht="39.6">
      <c r="A133" s="104" t="s">
        <v>53</v>
      </c>
      <c r="B133" s="105" t="s">
        <v>276</v>
      </c>
      <c r="C133" s="37" t="s">
        <v>280</v>
      </c>
      <c r="D133" s="106">
        <v>2025</v>
      </c>
      <c r="E133" s="107" t="s">
        <v>113</v>
      </c>
      <c r="F133" s="113">
        <v>0.87</v>
      </c>
      <c r="G133" s="135"/>
      <c r="H133" s="109" t="s">
        <v>279</v>
      </c>
    </row>
    <row r="134" spans="1:8" ht="19.899999999999999">
      <c r="A134" s="104" t="s">
        <v>53</v>
      </c>
      <c r="B134" s="105" t="s">
        <v>281</v>
      </c>
      <c r="C134" s="37" t="s">
        <v>282</v>
      </c>
      <c r="D134" s="106" t="s">
        <v>102</v>
      </c>
      <c r="E134" s="107" t="s">
        <v>104</v>
      </c>
      <c r="F134" s="108" t="s">
        <v>283</v>
      </c>
      <c r="G134" s="135" t="s">
        <v>284</v>
      </c>
      <c r="H134" s="109" t="s">
        <v>279</v>
      </c>
    </row>
    <row r="135" spans="1:8" ht="19.899999999999999">
      <c r="A135" s="104" t="s">
        <v>53</v>
      </c>
      <c r="B135" s="105" t="s">
        <v>281</v>
      </c>
      <c r="C135" s="37" t="s">
        <v>281</v>
      </c>
      <c r="D135" s="106" t="s">
        <v>102</v>
      </c>
      <c r="E135" s="107" t="s">
        <v>285</v>
      </c>
      <c r="F135" s="117">
        <v>5916.689453</v>
      </c>
      <c r="G135" s="144">
        <v>285789.85070000001</v>
      </c>
      <c r="H135" s="109" t="s">
        <v>222</v>
      </c>
    </row>
    <row r="136" spans="1:8" ht="19.899999999999999">
      <c r="A136" s="104" t="s">
        <v>53</v>
      </c>
      <c r="B136" s="105" t="s">
        <v>281</v>
      </c>
      <c r="C136" s="37" t="s">
        <v>286</v>
      </c>
      <c r="D136" s="106" t="s">
        <v>102</v>
      </c>
      <c r="E136" s="107" t="s">
        <v>113</v>
      </c>
      <c r="F136" s="111">
        <v>2.0702937625349301E-2</v>
      </c>
      <c r="G136" s="137"/>
      <c r="H136" s="109" t="s">
        <v>222</v>
      </c>
    </row>
    <row r="137" spans="1:8" ht="19.899999999999999">
      <c r="A137" s="104" t="s">
        <v>55</v>
      </c>
      <c r="B137" s="105" t="s">
        <v>287</v>
      </c>
      <c r="C137" s="37" t="s">
        <v>288</v>
      </c>
      <c r="D137" s="106">
        <v>2025</v>
      </c>
      <c r="E137" s="107" t="s">
        <v>113</v>
      </c>
      <c r="F137" s="111">
        <v>0.60519999999999996</v>
      </c>
      <c r="G137" s="137">
        <v>0.58169999999999999</v>
      </c>
      <c r="H137" s="109" t="s">
        <v>289</v>
      </c>
    </row>
    <row r="138" spans="1:8" ht="19.899999999999999">
      <c r="A138" s="104" t="s">
        <v>55</v>
      </c>
      <c r="B138" s="105" t="s">
        <v>287</v>
      </c>
      <c r="C138" s="37" t="s">
        <v>290</v>
      </c>
      <c r="D138" s="106">
        <v>2025</v>
      </c>
      <c r="E138" s="107" t="s">
        <v>113</v>
      </c>
      <c r="F138" s="111">
        <v>0.39479999999999998</v>
      </c>
      <c r="G138" s="137">
        <v>0.41830000000000001</v>
      </c>
      <c r="H138" s="109" t="s">
        <v>289</v>
      </c>
    </row>
    <row r="139" spans="1:8" ht="19.899999999999999">
      <c r="A139" s="104" t="s">
        <v>55</v>
      </c>
      <c r="B139" s="105" t="s">
        <v>291</v>
      </c>
      <c r="C139" s="37" t="s">
        <v>292</v>
      </c>
      <c r="D139" s="106">
        <v>2025</v>
      </c>
      <c r="E139" s="107" t="s">
        <v>113</v>
      </c>
      <c r="F139" s="111">
        <v>0.219</v>
      </c>
      <c r="G139" s="137"/>
      <c r="H139" s="109" t="s">
        <v>289</v>
      </c>
    </row>
    <row r="140" spans="1:8" ht="19.899999999999999">
      <c r="A140" s="104" t="s">
        <v>55</v>
      </c>
      <c r="B140" s="105" t="s">
        <v>291</v>
      </c>
      <c r="C140" s="37" t="s">
        <v>293</v>
      </c>
      <c r="D140" s="106">
        <v>2025</v>
      </c>
      <c r="E140" s="107" t="s">
        <v>113</v>
      </c>
      <c r="F140" s="111">
        <v>0.2447</v>
      </c>
      <c r="G140" s="137"/>
      <c r="H140" s="109" t="s">
        <v>289</v>
      </c>
    </row>
    <row r="141" spans="1:8" ht="19.899999999999999">
      <c r="A141" s="104" t="s">
        <v>55</v>
      </c>
      <c r="B141" s="105" t="s">
        <v>291</v>
      </c>
      <c r="C141" s="37" t="s">
        <v>294</v>
      </c>
      <c r="D141" s="106">
        <v>2025</v>
      </c>
      <c r="E141" s="107" t="s">
        <v>113</v>
      </c>
      <c r="F141" s="111">
        <v>1.24E-2</v>
      </c>
      <c r="G141" s="137"/>
      <c r="H141" s="109" t="s">
        <v>289</v>
      </c>
    </row>
    <row r="142" spans="1:8" ht="19.899999999999999">
      <c r="A142" s="104" t="s">
        <v>55</v>
      </c>
      <c r="B142" s="105" t="s">
        <v>291</v>
      </c>
      <c r="C142" s="37" t="s">
        <v>295</v>
      </c>
      <c r="D142" s="106">
        <v>2025</v>
      </c>
      <c r="E142" s="107" t="s">
        <v>113</v>
      </c>
      <c r="F142" s="111">
        <v>0.1386</v>
      </c>
      <c r="G142" s="137"/>
      <c r="H142" s="109" t="s">
        <v>289</v>
      </c>
    </row>
    <row r="143" spans="1:8" ht="19.899999999999999">
      <c r="A143" s="104" t="s">
        <v>55</v>
      </c>
      <c r="B143" s="105" t="s">
        <v>291</v>
      </c>
      <c r="C143" s="37" t="s">
        <v>296</v>
      </c>
      <c r="D143" s="106">
        <v>2025</v>
      </c>
      <c r="E143" s="107" t="s">
        <v>113</v>
      </c>
      <c r="F143" s="111">
        <v>0.25530000000000003</v>
      </c>
      <c r="G143" s="137"/>
      <c r="H143" s="109" t="s">
        <v>289</v>
      </c>
    </row>
    <row r="144" spans="1:8" ht="19.899999999999999">
      <c r="A144" s="104" t="s">
        <v>55</v>
      </c>
      <c r="B144" s="105" t="s">
        <v>291</v>
      </c>
      <c r="C144" s="37" t="s">
        <v>297</v>
      </c>
      <c r="D144" s="106">
        <v>2025</v>
      </c>
      <c r="E144" s="107" t="s">
        <v>113</v>
      </c>
      <c r="F144" s="111">
        <v>5.3E-3</v>
      </c>
      <c r="G144" s="137"/>
      <c r="H144" s="109" t="s">
        <v>289</v>
      </c>
    </row>
    <row r="145" spans="1:8" ht="19.899999999999999">
      <c r="A145" s="104" t="s">
        <v>55</v>
      </c>
      <c r="B145" s="105" t="s">
        <v>291</v>
      </c>
      <c r="C145" s="37" t="s">
        <v>298</v>
      </c>
      <c r="D145" s="106">
        <v>2025</v>
      </c>
      <c r="E145" s="107" t="s">
        <v>113</v>
      </c>
      <c r="F145" s="111">
        <v>0.1135</v>
      </c>
      <c r="G145" s="137"/>
      <c r="H145" s="109" t="s">
        <v>289</v>
      </c>
    </row>
    <row r="146" spans="1:8" ht="19.899999999999999">
      <c r="A146" s="104" t="s">
        <v>55</v>
      </c>
      <c r="B146" s="105" t="s">
        <v>291</v>
      </c>
      <c r="C146" s="37" t="s">
        <v>299</v>
      </c>
      <c r="D146" s="106">
        <v>2025</v>
      </c>
      <c r="E146" s="107" t="s">
        <v>113</v>
      </c>
      <c r="F146" s="111">
        <v>1.12E-2</v>
      </c>
      <c r="G146" s="135"/>
      <c r="H146" s="109" t="s">
        <v>289</v>
      </c>
    </row>
    <row r="147" spans="1:8" ht="19.899999999999999">
      <c r="A147" s="104" t="s">
        <v>55</v>
      </c>
      <c r="B147" s="105" t="s">
        <v>300</v>
      </c>
      <c r="C147" s="37" t="s">
        <v>301</v>
      </c>
      <c r="D147" s="106">
        <v>2023</v>
      </c>
      <c r="E147" s="107" t="s">
        <v>113</v>
      </c>
      <c r="F147" s="111">
        <v>0.44280000000000003</v>
      </c>
      <c r="G147" s="137">
        <v>0.44209999999999999</v>
      </c>
      <c r="H147" s="109" t="s">
        <v>289</v>
      </c>
    </row>
    <row r="148" spans="1:8" ht="19.899999999999999">
      <c r="A148" s="104" t="s">
        <v>55</v>
      </c>
      <c r="B148" s="105" t="s">
        <v>300</v>
      </c>
      <c r="C148" s="37" t="s">
        <v>302</v>
      </c>
      <c r="D148" s="106">
        <v>2023</v>
      </c>
      <c r="E148" s="107" t="s">
        <v>113</v>
      </c>
      <c r="F148" s="111">
        <v>0.55720000000000003</v>
      </c>
      <c r="G148" s="137">
        <v>0.55789999999999995</v>
      </c>
      <c r="H148" s="109" t="s">
        <v>289</v>
      </c>
    </row>
    <row r="149" spans="1:8" ht="19.899999999999999">
      <c r="A149" s="104" t="s">
        <v>55</v>
      </c>
      <c r="B149" s="105" t="s">
        <v>303</v>
      </c>
      <c r="C149" s="37" t="s">
        <v>304</v>
      </c>
      <c r="D149" s="106">
        <v>2022</v>
      </c>
      <c r="E149" s="107" t="s">
        <v>113</v>
      </c>
      <c r="F149" s="111">
        <v>0.3448</v>
      </c>
      <c r="G149" s="137">
        <v>0.38109999999999999</v>
      </c>
      <c r="H149" s="109" t="s">
        <v>289</v>
      </c>
    </row>
    <row r="150" spans="1:8" ht="19.899999999999999">
      <c r="A150" s="104" t="s">
        <v>55</v>
      </c>
      <c r="B150" s="105" t="s">
        <v>303</v>
      </c>
      <c r="C150" s="37" t="s">
        <v>305</v>
      </c>
      <c r="D150" s="106">
        <v>2022</v>
      </c>
      <c r="E150" s="107" t="s">
        <v>113</v>
      </c>
      <c r="F150" s="111">
        <v>0.6552</v>
      </c>
      <c r="G150" s="137">
        <v>0.61890000000000001</v>
      </c>
      <c r="H150" s="109" t="s">
        <v>289</v>
      </c>
    </row>
    <row r="151" spans="1:8" ht="19.899999999999999">
      <c r="A151" s="104" t="s">
        <v>55</v>
      </c>
      <c r="B151" s="105" t="s">
        <v>306</v>
      </c>
      <c r="C151" s="37" t="s">
        <v>307</v>
      </c>
      <c r="D151" s="106">
        <v>2021</v>
      </c>
      <c r="E151" s="107" t="s">
        <v>113</v>
      </c>
      <c r="F151" s="111">
        <v>0.55330000000000001</v>
      </c>
      <c r="G151" s="137">
        <v>0.55869999999999997</v>
      </c>
      <c r="H151" s="109" t="s">
        <v>289</v>
      </c>
    </row>
    <row r="152" spans="1:8" ht="19.899999999999999">
      <c r="A152" s="104" t="s">
        <v>55</v>
      </c>
      <c r="B152" s="105" t="s">
        <v>306</v>
      </c>
      <c r="C152" s="37" t="s">
        <v>308</v>
      </c>
      <c r="D152" s="106">
        <v>2021</v>
      </c>
      <c r="E152" s="107" t="s">
        <v>113</v>
      </c>
      <c r="F152" s="111">
        <v>0.42670000000000002</v>
      </c>
      <c r="G152" s="137">
        <v>0.44130000000000003</v>
      </c>
      <c r="H152" s="109" t="s">
        <v>289</v>
      </c>
    </row>
    <row r="153" spans="1:8" ht="19.899999999999999">
      <c r="A153" s="104" t="s">
        <v>57</v>
      </c>
      <c r="B153" s="105" t="s">
        <v>309</v>
      </c>
      <c r="C153" s="37" t="s">
        <v>39</v>
      </c>
      <c r="D153" s="106">
        <v>2025</v>
      </c>
      <c r="E153" s="107" t="s">
        <v>310</v>
      </c>
      <c r="F153" s="115">
        <v>4.0999999999999996</v>
      </c>
      <c r="G153" s="142">
        <v>5.4</v>
      </c>
      <c r="H153" s="109" t="s">
        <v>311</v>
      </c>
    </row>
    <row r="154" spans="1:8" ht="19.899999999999999">
      <c r="A154" s="104" t="s">
        <v>57</v>
      </c>
      <c r="B154" s="105" t="s">
        <v>309</v>
      </c>
      <c r="C154" s="37" t="s">
        <v>312</v>
      </c>
      <c r="D154" s="106">
        <v>2024</v>
      </c>
      <c r="E154" s="107" t="s">
        <v>310</v>
      </c>
      <c r="F154" s="115">
        <v>5.5</v>
      </c>
      <c r="G154" s="142">
        <v>5.4</v>
      </c>
      <c r="H154" s="109" t="s">
        <v>311</v>
      </c>
    </row>
    <row r="155" spans="1:8" ht="19.899999999999999">
      <c r="A155" s="104" t="s">
        <v>57</v>
      </c>
      <c r="B155" s="105" t="s">
        <v>309</v>
      </c>
      <c r="C155" s="37" t="s">
        <v>313</v>
      </c>
      <c r="D155" s="106">
        <v>2023</v>
      </c>
      <c r="E155" s="107" t="s">
        <v>310</v>
      </c>
      <c r="F155" s="115">
        <v>4.7</v>
      </c>
      <c r="G155" s="142">
        <v>6.1</v>
      </c>
      <c r="H155" s="109" t="s">
        <v>311</v>
      </c>
    </row>
    <row r="156" spans="1:8" ht="19.899999999999999">
      <c r="A156" s="104" t="s">
        <v>57</v>
      </c>
      <c r="B156" s="105" t="s">
        <v>309</v>
      </c>
      <c r="C156" s="37" t="s">
        <v>314</v>
      </c>
      <c r="D156" s="106">
        <v>2022</v>
      </c>
      <c r="E156" s="107" t="s">
        <v>310</v>
      </c>
      <c r="F156" s="115">
        <v>4.4000000000000004</v>
      </c>
      <c r="G156" s="142">
        <v>6.7</v>
      </c>
      <c r="H156" s="109" t="s">
        <v>311</v>
      </c>
    </row>
    <row r="157" spans="1:8" ht="19.899999999999999">
      <c r="A157" s="104" t="s">
        <v>57</v>
      </c>
      <c r="B157" s="105" t="s">
        <v>309</v>
      </c>
      <c r="C157" s="37" t="s">
        <v>315</v>
      </c>
      <c r="D157" s="106">
        <v>2021</v>
      </c>
      <c r="E157" s="107" t="s">
        <v>310</v>
      </c>
      <c r="F157" s="115">
        <v>4.5999999999999996</v>
      </c>
      <c r="G157" s="142">
        <v>4.7</v>
      </c>
      <c r="H157" s="109" t="s">
        <v>311</v>
      </c>
    </row>
    <row r="158" spans="1:8" ht="19.899999999999999">
      <c r="A158" s="104" t="s">
        <v>57</v>
      </c>
      <c r="B158" s="105" t="s">
        <v>309</v>
      </c>
      <c r="C158" s="37" t="s">
        <v>316</v>
      </c>
      <c r="D158" s="106">
        <v>2020</v>
      </c>
      <c r="E158" s="107" t="s">
        <v>310</v>
      </c>
      <c r="F158" s="115">
        <v>5.0999999999999996</v>
      </c>
      <c r="G158" s="142">
        <v>5.8</v>
      </c>
      <c r="H158" s="109" t="s">
        <v>311</v>
      </c>
    </row>
    <row r="159" spans="1:8" ht="19.899999999999999">
      <c r="A159" s="104" t="s">
        <v>57</v>
      </c>
      <c r="B159" s="105" t="s">
        <v>309</v>
      </c>
      <c r="C159" s="37" t="s">
        <v>317</v>
      </c>
      <c r="D159" s="106">
        <v>2019</v>
      </c>
      <c r="E159" s="107" t="s">
        <v>310</v>
      </c>
      <c r="F159" s="115">
        <v>3.5</v>
      </c>
      <c r="G159" s="142">
        <v>4.9000000000000004</v>
      </c>
      <c r="H159" s="109" t="s">
        <v>311</v>
      </c>
    </row>
    <row r="160" spans="1:8" ht="19.899999999999999">
      <c r="A160" s="104" t="s">
        <v>57</v>
      </c>
      <c r="B160" s="105" t="s">
        <v>309</v>
      </c>
      <c r="C160" s="37" t="s">
        <v>318</v>
      </c>
      <c r="D160" s="106">
        <v>2018</v>
      </c>
      <c r="E160" s="107" t="s">
        <v>310</v>
      </c>
      <c r="F160" s="115">
        <v>4.0999999999999996</v>
      </c>
      <c r="G160" s="142">
        <v>4.5</v>
      </c>
      <c r="H160" s="109" t="s">
        <v>311</v>
      </c>
    </row>
    <row r="161" spans="1:8" ht="19.899999999999999">
      <c r="A161" s="104" t="s">
        <v>57</v>
      </c>
      <c r="B161" s="105" t="s">
        <v>319</v>
      </c>
      <c r="C161" s="37" t="s">
        <v>320</v>
      </c>
      <c r="D161" s="106" t="s">
        <v>321</v>
      </c>
      <c r="E161" s="107" t="s">
        <v>322</v>
      </c>
      <c r="F161" s="115">
        <v>207</v>
      </c>
      <c r="G161" s="136">
        <v>6040</v>
      </c>
      <c r="H161" s="109" t="s">
        <v>311</v>
      </c>
    </row>
    <row r="162" spans="1:8" ht="19.899999999999999">
      <c r="A162" s="104" t="s">
        <v>57</v>
      </c>
      <c r="B162" s="105" t="s">
        <v>323</v>
      </c>
      <c r="C162" s="37" t="s">
        <v>324</v>
      </c>
      <c r="D162" s="106">
        <v>2021</v>
      </c>
      <c r="E162" s="107" t="s">
        <v>325</v>
      </c>
      <c r="F162" s="119">
        <v>0.59948324544242904</v>
      </c>
      <c r="G162" s="135"/>
      <c r="H162" s="109" t="s">
        <v>311</v>
      </c>
    </row>
    <row r="163" spans="1:8" ht="19.899999999999999">
      <c r="A163" s="104" t="s">
        <v>57</v>
      </c>
      <c r="B163" s="105" t="s">
        <v>323</v>
      </c>
      <c r="C163" s="37" t="s">
        <v>326</v>
      </c>
      <c r="D163" s="106">
        <v>2022</v>
      </c>
      <c r="E163" s="107" t="s">
        <v>325</v>
      </c>
      <c r="F163" s="119">
        <v>0.59424650533534296</v>
      </c>
      <c r="G163" s="135"/>
      <c r="H163" s="109" t="s">
        <v>311</v>
      </c>
    </row>
    <row r="164" spans="1:8" ht="19.899999999999999">
      <c r="A164" s="104" t="s">
        <v>57</v>
      </c>
      <c r="B164" s="105" t="s">
        <v>323</v>
      </c>
      <c r="C164" s="37" t="s">
        <v>327</v>
      </c>
      <c r="D164" s="106">
        <v>2023</v>
      </c>
      <c r="E164" s="107" t="s">
        <v>325</v>
      </c>
      <c r="F164" s="119">
        <v>0.58935738435334695</v>
      </c>
      <c r="G164" s="135"/>
      <c r="H164" s="109" t="s">
        <v>311</v>
      </c>
    </row>
    <row r="165" spans="1:8" ht="19.899999999999999">
      <c r="A165" s="104" t="s">
        <v>57</v>
      </c>
      <c r="B165" s="105" t="s">
        <v>323</v>
      </c>
      <c r="C165" s="37" t="s">
        <v>328</v>
      </c>
      <c r="D165" s="106">
        <v>2024</v>
      </c>
      <c r="E165" s="107" t="s">
        <v>325</v>
      </c>
      <c r="F165" s="119">
        <v>0.58469388351728402</v>
      </c>
      <c r="G165" s="135"/>
      <c r="H165" s="109" t="s">
        <v>311</v>
      </c>
    </row>
    <row r="166" spans="1:8" ht="19.899999999999999">
      <c r="A166" s="104" t="s">
        <v>57</v>
      </c>
      <c r="B166" s="105" t="s">
        <v>329</v>
      </c>
      <c r="C166" s="37" t="s">
        <v>330</v>
      </c>
      <c r="D166" s="106">
        <v>2024</v>
      </c>
      <c r="E166" s="107" t="s">
        <v>331</v>
      </c>
      <c r="F166" s="112">
        <v>0.14000000000000001</v>
      </c>
      <c r="G166" s="135"/>
      <c r="H166" s="109" t="s">
        <v>164</v>
      </c>
    </row>
    <row r="167" spans="1:8" ht="19.899999999999999">
      <c r="A167" s="104" t="s">
        <v>57</v>
      </c>
      <c r="B167" s="105" t="s">
        <v>329</v>
      </c>
      <c r="C167" s="37" t="s">
        <v>332</v>
      </c>
      <c r="D167" s="106">
        <v>2020</v>
      </c>
      <c r="E167" s="107" t="s">
        <v>331</v>
      </c>
      <c r="F167" s="112">
        <v>0.19800000000000001</v>
      </c>
      <c r="G167" s="135"/>
      <c r="H167" s="109" t="s">
        <v>164</v>
      </c>
    </row>
    <row r="168" spans="1:8" ht="19.899999999999999">
      <c r="A168" s="104" t="s">
        <v>57</v>
      </c>
      <c r="B168" s="105" t="s">
        <v>323</v>
      </c>
      <c r="C168" s="37" t="s">
        <v>333</v>
      </c>
      <c r="D168" s="106">
        <v>2021</v>
      </c>
      <c r="E168" s="107" t="s">
        <v>334</v>
      </c>
      <c r="F168" s="108">
        <v>3</v>
      </c>
      <c r="G168" s="135"/>
      <c r="H168" s="109" t="s">
        <v>164</v>
      </c>
    </row>
    <row r="169" spans="1:8" ht="19.899999999999999">
      <c r="A169" s="104" t="s">
        <v>57</v>
      </c>
      <c r="B169" s="105" t="s">
        <v>323</v>
      </c>
      <c r="C169" s="37" t="s">
        <v>335</v>
      </c>
      <c r="D169" s="106">
        <v>2022</v>
      </c>
      <c r="E169" s="107" t="s">
        <v>334</v>
      </c>
      <c r="F169" s="108">
        <v>3</v>
      </c>
      <c r="G169" s="135"/>
      <c r="H169" s="109" t="s">
        <v>164</v>
      </c>
    </row>
    <row r="170" spans="1:8" ht="19.899999999999999">
      <c r="A170" s="104" t="s">
        <v>57</v>
      </c>
      <c r="B170" s="105" t="s">
        <v>323</v>
      </c>
      <c r="C170" s="37" t="s">
        <v>336</v>
      </c>
      <c r="D170" s="106">
        <v>2023</v>
      </c>
      <c r="E170" s="107" t="s">
        <v>334</v>
      </c>
      <c r="F170" s="108">
        <v>3</v>
      </c>
      <c r="G170" s="135"/>
      <c r="H170" s="109" t="s">
        <v>164</v>
      </c>
    </row>
    <row r="171" spans="1:8" ht="19.899999999999999">
      <c r="A171" s="104" t="s">
        <v>57</v>
      </c>
      <c r="B171" s="105" t="s">
        <v>323</v>
      </c>
      <c r="C171" s="37" t="s">
        <v>337</v>
      </c>
      <c r="D171" s="106">
        <v>2024</v>
      </c>
      <c r="E171" s="107" t="s">
        <v>334</v>
      </c>
      <c r="F171" s="108">
        <v>3</v>
      </c>
      <c r="G171" s="135"/>
      <c r="H171" s="109" t="s">
        <v>164</v>
      </c>
    </row>
    <row r="172" spans="1:8" ht="19.899999999999999">
      <c r="A172" s="104" t="s">
        <v>57</v>
      </c>
      <c r="B172" s="105" t="s">
        <v>323</v>
      </c>
      <c r="C172" s="37" t="s">
        <v>338</v>
      </c>
      <c r="D172" s="106">
        <v>2025</v>
      </c>
      <c r="E172" s="107" t="s">
        <v>334</v>
      </c>
      <c r="F172" s="108">
        <v>2</v>
      </c>
      <c r="G172" s="135"/>
      <c r="H172" s="109" t="s">
        <v>164</v>
      </c>
    </row>
    <row r="173" spans="1:8" ht="19.899999999999999">
      <c r="A173" s="104" t="s">
        <v>57</v>
      </c>
      <c r="B173" s="105" t="s">
        <v>339</v>
      </c>
      <c r="C173" s="37" t="s">
        <v>340</v>
      </c>
      <c r="D173" s="106">
        <v>2026</v>
      </c>
      <c r="E173" s="107" t="s">
        <v>110</v>
      </c>
      <c r="F173" s="110">
        <v>3576</v>
      </c>
      <c r="G173" s="136">
        <v>64087</v>
      </c>
      <c r="H173" s="109" t="s">
        <v>341</v>
      </c>
    </row>
    <row r="174" spans="1:8" ht="19.899999999999999">
      <c r="A174" s="104" t="s">
        <v>57</v>
      </c>
      <c r="B174" s="105" t="s">
        <v>339</v>
      </c>
      <c r="C174" s="37" t="s">
        <v>342</v>
      </c>
      <c r="D174" s="106">
        <v>2026</v>
      </c>
      <c r="E174" s="107" t="s">
        <v>110</v>
      </c>
      <c r="F174" s="108">
        <v>3380</v>
      </c>
      <c r="G174" s="135"/>
      <c r="H174" s="109" t="s">
        <v>341</v>
      </c>
    </row>
    <row r="175" spans="1:8" ht="19.899999999999999">
      <c r="A175" s="104" t="s">
        <v>57</v>
      </c>
      <c r="B175" s="105" t="s">
        <v>339</v>
      </c>
      <c r="C175" s="37" t="s">
        <v>343</v>
      </c>
      <c r="D175" s="106">
        <v>2026</v>
      </c>
      <c r="E175" s="107" t="s">
        <v>110</v>
      </c>
      <c r="F175" s="108">
        <v>196</v>
      </c>
      <c r="G175" s="135"/>
      <c r="H175" s="109" t="s">
        <v>341</v>
      </c>
    </row>
    <row r="176" spans="1:8" ht="19.899999999999999">
      <c r="A176" s="104" t="s">
        <v>57</v>
      </c>
      <c r="B176" s="105" t="s">
        <v>344</v>
      </c>
      <c r="C176" s="37" t="s">
        <v>345</v>
      </c>
      <c r="D176" s="106">
        <v>2025</v>
      </c>
      <c r="E176" s="107" t="s">
        <v>346</v>
      </c>
      <c r="F176" s="111">
        <v>5.8000000000000003E-2</v>
      </c>
      <c r="G176" s="137">
        <v>7.9000000000000001E-2</v>
      </c>
      <c r="H176" s="109" t="s">
        <v>347</v>
      </c>
    </row>
    <row r="177" spans="1:8" ht="19.899999999999999">
      <c r="A177" s="104" t="s">
        <v>57</v>
      </c>
      <c r="B177" s="105" t="s">
        <v>344</v>
      </c>
      <c r="C177" s="37" t="s">
        <v>348</v>
      </c>
      <c r="D177" s="106">
        <v>2024</v>
      </c>
      <c r="E177" s="107" t="s">
        <v>346</v>
      </c>
      <c r="F177" s="111">
        <v>6.7000000000000004E-2</v>
      </c>
      <c r="G177" s="137">
        <v>8.5000000000000006E-2</v>
      </c>
      <c r="H177" s="109" t="s">
        <v>347</v>
      </c>
    </row>
    <row r="178" spans="1:8" ht="19.899999999999999">
      <c r="A178" s="104" t="s">
        <v>57</v>
      </c>
      <c r="B178" s="105" t="s">
        <v>344</v>
      </c>
      <c r="C178" s="37" t="s">
        <v>349</v>
      </c>
      <c r="D178" s="106">
        <v>2023</v>
      </c>
      <c r="E178" s="107" t="s">
        <v>346</v>
      </c>
      <c r="F178" s="112">
        <v>5.5E-2</v>
      </c>
      <c r="G178" s="138">
        <v>8.1000000000000003E-2</v>
      </c>
      <c r="H178" s="109" t="s">
        <v>350</v>
      </c>
    </row>
    <row r="179" spans="1:8" ht="19.899999999999999">
      <c r="A179" s="104" t="s">
        <v>57</v>
      </c>
      <c r="B179" s="105" t="s">
        <v>344</v>
      </c>
      <c r="C179" s="37" t="s">
        <v>351</v>
      </c>
      <c r="D179" s="106">
        <v>2025</v>
      </c>
      <c r="E179" s="107" t="s">
        <v>352</v>
      </c>
      <c r="F179" s="111">
        <v>0.04</v>
      </c>
      <c r="G179" s="137">
        <v>5.1999999999999998E-2</v>
      </c>
      <c r="H179" s="109" t="s">
        <v>347</v>
      </c>
    </row>
    <row r="180" spans="1:8" ht="19.899999999999999">
      <c r="A180" s="104" t="s">
        <v>57</v>
      </c>
      <c r="B180" s="105" t="s">
        <v>344</v>
      </c>
      <c r="C180" s="37" t="s">
        <v>353</v>
      </c>
      <c r="D180" s="106">
        <v>2024</v>
      </c>
      <c r="E180" s="107" t="s">
        <v>352</v>
      </c>
      <c r="F180" s="111">
        <v>4.8000000000000001E-2</v>
      </c>
      <c r="G180" s="137">
        <v>5.8000000000000003E-2</v>
      </c>
      <c r="H180" s="109" t="s">
        <v>347</v>
      </c>
    </row>
    <row r="181" spans="1:8" ht="19.899999999999999">
      <c r="A181" s="104" t="s">
        <v>57</v>
      </c>
      <c r="B181" s="105" t="s">
        <v>344</v>
      </c>
      <c r="C181" s="37" t="s">
        <v>354</v>
      </c>
      <c r="D181" s="106">
        <v>2023</v>
      </c>
      <c r="E181" s="107" t="s">
        <v>352</v>
      </c>
      <c r="F181" s="112">
        <v>3.5999999999999997E-2</v>
      </c>
      <c r="G181" s="138">
        <v>5.6000000000000001E-2</v>
      </c>
      <c r="H181" s="109" t="s">
        <v>350</v>
      </c>
    </row>
    <row r="182" spans="1:8" ht="19.899999999999999">
      <c r="A182" s="104" t="s">
        <v>57</v>
      </c>
      <c r="B182" s="105" t="s">
        <v>355</v>
      </c>
      <c r="C182" s="37" t="s">
        <v>356</v>
      </c>
      <c r="D182" s="106">
        <v>2025</v>
      </c>
      <c r="E182" s="107" t="s">
        <v>352</v>
      </c>
      <c r="F182" s="111">
        <v>0.85599999999999998</v>
      </c>
      <c r="G182" s="137">
        <v>0.82899999999999996</v>
      </c>
      <c r="H182" s="109" t="s">
        <v>347</v>
      </c>
    </row>
    <row r="183" spans="1:8" ht="19.899999999999999">
      <c r="A183" s="104" t="s">
        <v>57</v>
      </c>
      <c r="B183" s="105" t="s">
        <v>355</v>
      </c>
      <c r="C183" s="37" t="s">
        <v>357</v>
      </c>
      <c r="D183" s="106">
        <v>2024</v>
      </c>
      <c r="E183" s="107" t="s">
        <v>352</v>
      </c>
      <c r="F183" s="111">
        <v>0.876</v>
      </c>
      <c r="G183" s="137">
        <v>0.877</v>
      </c>
      <c r="H183" s="109" t="s">
        <v>347</v>
      </c>
    </row>
    <row r="184" spans="1:8" ht="19.899999999999999">
      <c r="A184" s="104" t="s">
        <v>57</v>
      </c>
      <c r="B184" s="105" t="s">
        <v>355</v>
      </c>
      <c r="C184" s="37" t="s">
        <v>358</v>
      </c>
      <c r="D184" s="106">
        <v>2023</v>
      </c>
      <c r="E184" s="107" t="s">
        <v>352</v>
      </c>
      <c r="F184" s="112">
        <v>0.89500000000000002</v>
      </c>
      <c r="G184" s="137">
        <v>0.877</v>
      </c>
      <c r="H184" s="109" t="s">
        <v>350</v>
      </c>
    </row>
    <row r="185" spans="1:8" ht="19.899999999999999">
      <c r="A185" s="104" t="s">
        <v>57</v>
      </c>
      <c r="B185" s="105" t="s">
        <v>355</v>
      </c>
      <c r="C185" s="37" t="s">
        <v>359</v>
      </c>
      <c r="D185" s="106">
        <v>2025</v>
      </c>
      <c r="E185" s="107" t="s">
        <v>352</v>
      </c>
      <c r="F185" s="111">
        <v>0.46899999999999997</v>
      </c>
      <c r="G185" s="137">
        <v>0.47199999999999998</v>
      </c>
      <c r="H185" s="109" t="s">
        <v>347</v>
      </c>
    </row>
    <row r="186" spans="1:8" ht="19.899999999999999">
      <c r="A186" s="104" t="s">
        <v>57</v>
      </c>
      <c r="B186" s="105" t="s">
        <v>355</v>
      </c>
      <c r="C186" s="37" t="s">
        <v>360</v>
      </c>
      <c r="D186" s="106">
        <v>2024</v>
      </c>
      <c r="E186" s="107" t="s">
        <v>352</v>
      </c>
      <c r="F186" s="111">
        <v>0.45200000000000001</v>
      </c>
      <c r="G186" s="137">
        <v>0.50800000000000001</v>
      </c>
      <c r="H186" s="109" t="s">
        <v>347</v>
      </c>
    </row>
    <row r="187" spans="1:8" ht="19.899999999999999">
      <c r="A187" s="104" t="s">
        <v>57</v>
      </c>
      <c r="B187" s="105" t="s">
        <v>355</v>
      </c>
      <c r="C187" s="37" t="s">
        <v>361</v>
      </c>
      <c r="D187" s="106">
        <v>2023</v>
      </c>
      <c r="E187" s="107" t="s">
        <v>352</v>
      </c>
      <c r="F187" s="112">
        <v>0.51500000000000001</v>
      </c>
      <c r="G187" s="135">
        <v>54.3</v>
      </c>
      <c r="H187" s="109" t="s">
        <v>350</v>
      </c>
    </row>
    <row r="188" spans="1:8" ht="19.899999999999999">
      <c r="A188" s="104" t="s">
        <v>59</v>
      </c>
      <c r="B188" s="105" t="s">
        <v>362</v>
      </c>
      <c r="C188" s="37" t="s">
        <v>363</v>
      </c>
      <c r="D188" s="106">
        <v>2023</v>
      </c>
      <c r="E188" s="107" t="s">
        <v>364</v>
      </c>
      <c r="F188" s="108">
        <v>0.84599999999999997</v>
      </c>
      <c r="G188" s="135">
        <v>0.878</v>
      </c>
      <c r="H188" s="109" t="s">
        <v>365</v>
      </c>
    </row>
    <row r="189" spans="1:8" ht="19.899999999999999">
      <c r="A189" s="104" t="s">
        <v>59</v>
      </c>
      <c r="B189" s="105" t="s">
        <v>362</v>
      </c>
      <c r="C189" s="37" t="s">
        <v>366</v>
      </c>
      <c r="D189" s="106">
        <v>2022</v>
      </c>
      <c r="E189" s="107" t="s">
        <v>364</v>
      </c>
      <c r="F189" s="108">
        <v>0.83699999999999997</v>
      </c>
      <c r="G189" s="135">
        <v>0.86899999999999999</v>
      </c>
      <c r="H189" s="109" t="s">
        <v>365</v>
      </c>
    </row>
    <row r="190" spans="1:8" ht="19.899999999999999">
      <c r="A190" s="104" t="s">
        <v>59</v>
      </c>
      <c r="B190" s="105" t="s">
        <v>362</v>
      </c>
      <c r="C190" s="37" t="s">
        <v>367</v>
      </c>
      <c r="D190" s="106">
        <v>2021</v>
      </c>
      <c r="E190" s="107" t="s">
        <v>364</v>
      </c>
      <c r="F190" s="108">
        <v>0.83299999999999996</v>
      </c>
      <c r="G190" s="135">
        <v>0.86499999999999999</v>
      </c>
      <c r="H190" s="109" t="s">
        <v>365</v>
      </c>
    </row>
    <row r="191" spans="1:8" ht="19.899999999999999">
      <c r="A191" s="104" t="s">
        <v>59</v>
      </c>
      <c r="B191" s="105" t="s">
        <v>368</v>
      </c>
      <c r="C191" s="37" t="s">
        <v>369</v>
      </c>
      <c r="D191" s="106">
        <v>2017</v>
      </c>
      <c r="E191" s="107" t="s">
        <v>364</v>
      </c>
      <c r="F191" s="108">
        <v>0.41199999999999998</v>
      </c>
      <c r="G191" s="135">
        <v>0.47</v>
      </c>
      <c r="H191" s="109" t="s">
        <v>370</v>
      </c>
    </row>
    <row r="192" spans="1:8" ht="19.899999999999999">
      <c r="A192" s="104" t="s">
        <v>59</v>
      </c>
      <c r="B192" s="105" t="s">
        <v>371</v>
      </c>
      <c r="C192" s="37" t="s">
        <v>372</v>
      </c>
      <c r="D192" s="106">
        <v>2024</v>
      </c>
      <c r="E192" s="107" t="s">
        <v>373</v>
      </c>
      <c r="F192" s="110">
        <v>20332</v>
      </c>
      <c r="G192" s="136">
        <v>491904</v>
      </c>
      <c r="H192" s="109" t="s">
        <v>141</v>
      </c>
    </row>
    <row r="193" spans="1:8" ht="19.899999999999999">
      <c r="A193" s="104" t="s">
        <v>59</v>
      </c>
      <c r="B193" s="105" t="s">
        <v>371</v>
      </c>
      <c r="C193" s="37" t="s">
        <v>374</v>
      </c>
      <c r="D193" s="106">
        <v>2022</v>
      </c>
      <c r="E193" s="107" t="s">
        <v>373</v>
      </c>
      <c r="F193" s="110">
        <v>21980</v>
      </c>
      <c r="G193" s="136">
        <v>552046</v>
      </c>
      <c r="H193" s="109" t="s">
        <v>375</v>
      </c>
    </row>
    <row r="194" spans="1:8" ht="19.899999999999999">
      <c r="A194" s="104" t="s">
        <v>59</v>
      </c>
      <c r="B194" s="105" t="s">
        <v>376</v>
      </c>
      <c r="C194" s="37" t="s">
        <v>377</v>
      </c>
      <c r="D194" s="106">
        <v>2024</v>
      </c>
      <c r="E194" s="107" t="s">
        <v>378</v>
      </c>
      <c r="F194" s="110">
        <v>59</v>
      </c>
      <c r="G194" s="136">
        <v>1432</v>
      </c>
      <c r="H194" s="109" t="s">
        <v>379</v>
      </c>
    </row>
    <row r="195" spans="1:8" ht="19.899999999999999">
      <c r="A195" s="104" t="s">
        <v>59</v>
      </c>
      <c r="B195" s="105" t="s">
        <v>376</v>
      </c>
      <c r="C195" s="37" t="s">
        <v>380</v>
      </c>
      <c r="D195" s="106">
        <v>2024</v>
      </c>
      <c r="E195" s="107" t="s">
        <v>113</v>
      </c>
      <c r="F195" s="112">
        <v>4.1201117318435801E-2</v>
      </c>
      <c r="G195" s="138"/>
      <c r="H195" s="109" t="s">
        <v>379</v>
      </c>
    </row>
    <row r="196" spans="1:8" ht="19.899999999999999">
      <c r="A196" s="104" t="s">
        <v>59</v>
      </c>
      <c r="B196" s="105" t="s">
        <v>376</v>
      </c>
      <c r="C196" s="37" t="s">
        <v>381</v>
      </c>
      <c r="D196" s="106">
        <v>2022</v>
      </c>
      <c r="E196" s="107" t="s">
        <v>378</v>
      </c>
      <c r="F196" s="110">
        <v>47</v>
      </c>
      <c r="G196" s="136">
        <v>1091</v>
      </c>
      <c r="H196" s="109" t="s">
        <v>379</v>
      </c>
    </row>
    <row r="197" spans="1:8" ht="19.899999999999999">
      <c r="A197" s="104" t="s">
        <v>59</v>
      </c>
      <c r="B197" s="105" t="s">
        <v>376</v>
      </c>
      <c r="C197" s="37" t="s">
        <v>45</v>
      </c>
      <c r="D197" s="106" t="s">
        <v>382</v>
      </c>
      <c r="E197" s="107" t="s">
        <v>383</v>
      </c>
      <c r="F197" s="110">
        <v>2073</v>
      </c>
      <c r="G197" s="136">
        <v>120584</v>
      </c>
      <c r="H197" s="109" t="s">
        <v>384</v>
      </c>
    </row>
    <row r="198" spans="1:8" ht="19.899999999999999">
      <c r="A198" s="104" t="s">
        <v>59</v>
      </c>
      <c r="B198" s="105" t="s">
        <v>376</v>
      </c>
      <c r="C198" s="37" t="s">
        <v>385</v>
      </c>
      <c r="D198" s="106" t="s">
        <v>382</v>
      </c>
      <c r="E198" s="107" t="s">
        <v>113</v>
      </c>
      <c r="F198" s="112">
        <v>1.7191335500563901E-2</v>
      </c>
      <c r="G198" s="138"/>
      <c r="H198" s="109" t="s">
        <v>384</v>
      </c>
    </row>
    <row r="199" spans="1:8" ht="19.899999999999999">
      <c r="A199" s="104" t="s">
        <v>59</v>
      </c>
      <c r="B199" s="105" t="s">
        <v>376</v>
      </c>
      <c r="C199" s="37" t="s">
        <v>386</v>
      </c>
      <c r="D199" s="106" t="s">
        <v>387</v>
      </c>
      <c r="E199" s="107" t="s">
        <v>383</v>
      </c>
      <c r="F199" s="110">
        <v>1958</v>
      </c>
      <c r="G199" s="136">
        <v>113887</v>
      </c>
      <c r="H199" s="109" t="s">
        <v>384</v>
      </c>
    </row>
    <row r="200" spans="1:8" ht="19.899999999999999">
      <c r="A200" s="104" t="s">
        <v>59</v>
      </c>
      <c r="B200" s="105" t="s">
        <v>376</v>
      </c>
      <c r="C200" s="37" t="s">
        <v>388</v>
      </c>
      <c r="D200" s="106" t="s">
        <v>382</v>
      </c>
      <c r="E200" s="107" t="s">
        <v>113</v>
      </c>
      <c r="F200" s="113">
        <v>0.36499999999999999</v>
      </c>
      <c r="G200" s="138">
        <v>0.39300000000000002</v>
      </c>
      <c r="H200" s="109" t="s">
        <v>384</v>
      </c>
    </row>
    <row r="201" spans="1:8" ht="19.899999999999999">
      <c r="A201" s="104" t="s">
        <v>59</v>
      </c>
      <c r="B201" s="105" t="s">
        <v>389</v>
      </c>
      <c r="C201" s="37" t="s">
        <v>390</v>
      </c>
      <c r="D201" s="106">
        <v>2023</v>
      </c>
      <c r="E201" s="107" t="s">
        <v>352</v>
      </c>
      <c r="F201" s="112">
        <v>0.45800000000000002</v>
      </c>
      <c r="G201" s="138">
        <v>0.45300000000000001</v>
      </c>
      <c r="H201" s="109" t="s">
        <v>391</v>
      </c>
    </row>
    <row r="202" spans="1:8" ht="19.899999999999999">
      <c r="A202" s="104" t="s">
        <v>59</v>
      </c>
      <c r="B202" s="105" t="s">
        <v>389</v>
      </c>
      <c r="C202" s="37" t="s">
        <v>392</v>
      </c>
      <c r="D202" s="106">
        <v>2023</v>
      </c>
      <c r="E202" s="107" t="s">
        <v>352</v>
      </c>
      <c r="F202" s="112">
        <v>0.66992908716201804</v>
      </c>
      <c r="G202" s="138">
        <v>0.60127817065879197</v>
      </c>
      <c r="H202" s="109" t="s">
        <v>391</v>
      </c>
    </row>
    <row r="203" spans="1:8" ht="19.899999999999999">
      <c r="A203" s="104" t="s">
        <v>59</v>
      </c>
      <c r="B203" s="105" t="s">
        <v>389</v>
      </c>
      <c r="C203" s="37" t="s">
        <v>393</v>
      </c>
      <c r="D203" s="106">
        <v>2023</v>
      </c>
      <c r="E203" s="107" t="s">
        <v>352</v>
      </c>
      <c r="F203" s="112">
        <v>0.82266825437545799</v>
      </c>
      <c r="G203" s="138">
        <v>0.77752811251017995</v>
      </c>
      <c r="H203" s="109" t="s">
        <v>391</v>
      </c>
    </row>
    <row r="204" spans="1:8" ht="19.899999999999999">
      <c r="A204" s="104" t="s">
        <v>59</v>
      </c>
      <c r="B204" s="105" t="s">
        <v>389</v>
      </c>
      <c r="C204" s="37" t="s">
        <v>394</v>
      </c>
      <c r="D204" s="106">
        <v>2023</v>
      </c>
      <c r="E204" s="107" t="s">
        <v>352</v>
      </c>
      <c r="F204" s="112">
        <v>0.28719586133956898</v>
      </c>
      <c r="G204" s="138">
        <v>0.28517389017738798</v>
      </c>
      <c r="H204" s="109" t="s">
        <v>391</v>
      </c>
    </row>
    <row r="205" spans="1:8" ht="19.899999999999999">
      <c r="A205" s="104" t="s">
        <v>59</v>
      </c>
      <c r="B205" s="105" t="s">
        <v>389</v>
      </c>
      <c r="C205" s="37" t="s">
        <v>395</v>
      </c>
      <c r="D205" s="106">
        <v>2023</v>
      </c>
      <c r="E205" s="107" t="s">
        <v>352</v>
      </c>
      <c r="F205" s="112">
        <v>0.53582781553268399</v>
      </c>
      <c r="G205" s="138">
        <v>0.45538539058135302</v>
      </c>
      <c r="H205" s="109" t="s">
        <v>391</v>
      </c>
    </row>
    <row r="206" spans="1:8" ht="19.899999999999999">
      <c r="A206" s="104" t="s">
        <v>59</v>
      </c>
      <c r="B206" s="105" t="s">
        <v>389</v>
      </c>
      <c r="C206" s="37" t="s">
        <v>396</v>
      </c>
      <c r="D206" s="106">
        <v>2023</v>
      </c>
      <c r="E206" s="107" t="s">
        <v>352</v>
      </c>
      <c r="F206" s="112">
        <v>0.71175199747085605</v>
      </c>
      <c r="G206" s="138">
        <v>0.71270111113033896</v>
      </c>
      <c r="H206" s="109" t="s">
        <v>391</v>
      </c>
    </row>
    <row r="207" spans="1:8" ht="19.899999999999999">
      <c r="A207" s="104" t="s">
        <v>59</v>
      </c>
      <c r="B207" s="105" t="s">
        <v>389</v>
      </c>
      <c r="C207" s="37" t="s">
        <v>397</v>
      </c>
      <c r="D207" s="106">
        <v>2023</v>
      </c>
      <c r="E207" s="107" t="s">
        <v>352</v>
      </c>
      <c r="F207" s="112">
        <v>0.97116941213607799</v>
      </c>
      <c r="G207" s="138">
        <v>0.97489348523012098</v>
      </c>
      <c r="H207" s="109" t="s">
        <v>391</v>
      </c>
    </row>
    <row r="208" spans="1:8" ht="39.6">
      <c r="A208" s="104" t="s">
        <v>61</v>
      </c>
      <c r="B208" s="105" t="s">
        <v>398</v>
      </c>
      <c r="C208" s="37" t="s">
        <v>399</v>
      </c>
      <c r="D208" s="106" t="s">
        <v>102</v>
      </c>
      <c r="E208" s="107" t="s">
        <v>113</v>
      </c>
      <c r="F208" s="111">
        <v>2.51697192474108E-2</v>
      </c>
      <c r="G208" s="137">
        <v>1.10617585159506E-2</v>
      </c>
      <c r="H208" s="109" t="s">
        <v>164</v>
      </c>
    </row>
    <row r="209" spans="1:8" ht="19.899999999999999">
      <c r="A209" s="104" t="s">
        <v>61</v>
      </c>
      <c r="B209" s="105" t="s">
        <v>398</v>
      </c>
      <c r="C209" s="37" t="s">
        <v>400</v>
      </c>
      <c r="D209" s="106" t="s">
        <v>102</v>
      </c>
      <c r="E209" s="107" t="s">
        <v>113</v>
      </c>
      <c r="F209" s="111">
        <v>0.242512530101611</v>
      </c>
      <c r="G209" s="137">
        <v>5.34745510593614E-2</v>
      </c>
      <c r="H209" s="109" t="s">
        <v>164</v>
      </c>
    </row>
    <row r="210" spans="1:8" ht="19.899999999999999">
      <c r="A210" s="104" t="s">
        <v>61</v>
      </c>
      <c r="B210" s="105" t="s">
        <v>398</v>
      </c>
      <c r="C210" s="37" t="s">
        <v>401</v>
      </c>
      <c r="D210" s="106" t="s">
        <v>102</v>
      </c>
      <c r="E210" s="107" t="s">
        <v>113</v>
      </c>
      <c r="F210" s="111">
        <v>0.22267116314583901</v>
      </c>
      <c r="G210" s="137">
        <v>0.38984937078742599</v>
      </c>
      <c r="H210" s="109" t="s">
        <v>164</v>
      </c>
    </row>
    <row r="211" spans="1:8" ht="19.899999999999999">
      <c r="A211" s="104" t="s">
        <v>61</v>
      </c>
      <c r="B211" s="105" t="s">
        <v>398</v>
      </c>
      <c r="C211" s="37" t="s">
        <v>402</v>
      </c>
      <c r="D211" s="106" t="s">
        <v>102</v>
      </c>
      <c r="E211" s="107" t="s">
        <v>113</v>
      </c>
      <c r="F211" s="111">
        <v>0.36112083227284297</v>
      </c>
      <c r="G211" s="137">
        <v>0.23871895971089299</v>
      </c>
      <c r="H211" s="109" t="s">
        <v>164</v>
      </c>
    </row>
    <row r="212" spans="1:8" ht="19.899999999999999">
      <c r="A212" s="104" t="s">
        <v>61</v>
      </c>
      <c r="B212" s="105" t="s">
        <v>398</v>
      </c>
      <c r="C212" s="37" t="s">
        <v>403</v>
      </c>
      <c r="D212" s="106" t="s">
        <v>102</v>
      </c>
      <c r="E212" s="107" t="s">
        <v>113</v>
      </c>
      <c r="F212" s="111">
        <v>2.1988859956536201E-3</v>
      </c>
      <c r="G212" s="137">
        <v>1.10193415900019E-2</v>
      </c>
      <c r="H212" s="109" t="s">
        <v>164</v>
      </c>
    </row>
    <row r="213" spans="1:8" ht="39.6">
      <c r="A213" s="104" t="s">
        <v>61</v>
      </c>
      <c r="B213" s="105" t="s">
        <v>398</v>
      </c>
      <c r="C213" s="37" t="s">
        <v>404</v>
      </c>
      <c r="D213" s="106" t="s">
        <v>102</v>
      </c>
      <c r="E213" s="107" t="s">
        <v>113</v>
      </c>
      <c r="F213" s="111">
        <v>0.11343106975742499</v>
      </c>
      <c r="G213" s="137">
        <v>0.23016117322575999</v>
      </c>
      <c r="H213" s="109" t="s">
        <v>164</v>
      </c>
    </row>
    <row r="214" spans="1:8" ht="19.899999999999999">
      <c r="A214" s="104" t="s">
        <v>61</v>
      </c>
      <c r="B214" s="105" t="s">
        <v>398</v>
      </c>
      <c r="C214" s="37" t="s">
        <v>405</v>
      </c>
      <c r="D214" s="106" t="s">
        <v>102</v>
      </c>
      <c r="E214" s="107" t="s">
        <v>113</v>
      </c>
      <c r="F214" s="111">
        <v>2.2021898310394101E-2</v>
      </c>
      <c r="G214" s="137">
        <v>4.2307318076551401E-2</v>
      </c>
      <c r="H214" s="109" t="s">
        <v>164</v>
      </c>
    </row>
    <row r="215" spans="1:8" ht="19.899999999999999">
      <c r="A215" s="104" t="s">
        <v>61</v>
      </c>
      <c r="B215" s="105" t="s">
        <v>398</v>
      </c>
      <c r="C215" s="37" t="s">
        <v>406</v>
      </c>
      <c r="D215" s="106" t="s">
        <v>102</v>
      </c>
      <c r="E215" s="107" t="s">
        <v>113</v>
      </c>
      <c r="F215" s="111">
        <v>1.08739011688235E-2</v>
      </c>
      <c r="G215" s="137">
        <v>1.90337899676522E-2</v>
      </c>
      <c r="H215" s="109" t="s">
        <v>164</v>
      </c>
    </row>
    <row r="216" spans="1:8" ht="19.899999999999999">
      <c r="A216" s="104" t="s">
        <v>63</v>
      </c>
      <c r="B216" s="105" t="s">
        <v>407</v>
      </c>
      <c r="C216" s="37" t="s">
        <v>408</v>
      </c>
      <c r="D216" s="106">
        <v>2026</v>
      </c>
      <c r="E216" s="107" t="s">
        <v>409</v>
      </c>
      <c r="F216" s="108">
        <v>605</v>
      </c>
      <c r="G216" s="135">
        <v>609</v>
      </c>
      <c r="H216" s="109" t="s">
        <v>410</v>
      </c>
    </row>
    <row r="217" spans="1:8" ht="19.899999999999999">
      <c r="A217" s="104" t="s">
        <v>63</v>
      </c>
      <c r="B217" s="105" t="s">
        <v>407</v>
      </c>
      <c r="C217" s="37" t="s">
        <v>411</v>
      </c>
      <c r="D217" s="106">
        <v>2026</v>
      </c>
      <c r="E217" s="107" t="s">
        <v>409</v>
      </c>
      <c r="F217" s="108">
        <v>630</v>
      </c>
      <c r="G217" s="135">
        <v>631</v>
      </c>
      <c r="H217" s="109" t="s">
        <v>410</v>
      </c>
    </row>
    <row r="218" spans="1:8" ht="19.899999999999999">
      <c r="A218" s="104" t="s">
        <v>63</v>
      </c>
      <c r="B218" s="105" t="s">
        <v>407</v>
      </c>
      <c r="C218" s="37" t="s">
        <v>412</v>
      </c>
      <c r="D218" s="106">
        <v>2025</v>
      </c>
      <c r="E218" s="107" t="s">
        <v>409</v>
      </c>
      <c r="F218" s="108">
        <v>592</v>
      </c>
      <c r="G218" s="135">
        <v>596</v>
      </c>
      <c r="H218" s="109" t="s">
        <v>410</v>
      </c>
    </row>
    <row r="219" spans="1:8" ht="19.899999999999999">
      <c r="A219" s="104" t="s">
        <v>63</v>
      </c>
      <c r="B219" s="105" t="s">
        <v>407</v>
      </c>
      <c r="C219" s="37" t="s">
        <v>413</v>
      </c>
      <c r="D219" s="106">
        <v>2025</v>
      </c>
      <c r="E219" s="107" t="s">
        <v>409</v>
      </c>
      <c r="F219" s="108">
        <v>621</v>
      </c>
      <c r="G219" s="135">
        <v>625</v>
      </c>
      <c r="H219" s="109" t="s">
        <v>410</v>
      </c>
    </row>
    <row r="220" spans="1:8" ht="19.899999999999999">
      <c r="A220" s="104" t="s">
        <v>63</v>
      </c>
      <c r="B220" s="105" t="s">
        <v>414</v>
      </c>
      <c r="C220" s="37" t="s">
        <v>415</v>
      </c>
      <c r="D220" s="106">
        <v>2024</v>
      </c>
      <c r="E220" s="107" t="s">
        <v>409</v>
      </c>
      <c r="F220" s="108">
        <v>264</v>
      </c>
      <c r="G220" s="135">
        <v>264</v>
      </c>
      <c r="H220" s="109" t="s">
        <v>416</v>
      </c>
    </row>
    <row r="221" spans="1:8" ht="19.899999999999999">
      <c r="A221" s="104" t="s">
        <v>63</v>
      </c>
      <c r="B221" s="105" t="s">
        <v>414</v>
      </c>
      <c r="C221" s="37" t="s">
        <v>417</v>
      </c>
      <c r="D221" s="106">
        <v>2024</v>
      </c>
      <c r="E221" s="107" t="s">
        <v>409</v>
      </c>
      <c r="F221" s="108">
        <v>277</v>
      </c>
      <c r="G221" s="135">
        <v>278</v>
      </c>
      <c r="H221" s="109" t="s">
        <v>416</v>
      </c>
    </row>
    <row r="222" spans="1:8" ht="19.899999999999999">
      <c r="A222" s="104" t="s">
        <v>63</v>
      </c>
      <c r="B222" s="105" t="s">
        <v>414</v>
      </c>
      <c r="C222" s="37" t="s">
        <v>418</v>
      </c>
      <c r="D222" s="106">
        <v>2024</v>
      </c>
      <c r="E222" s="107" t="s">
        <v>409</v>
      </c>
      <c r="F222" s="108">
        <v>243</v>
      </c>
      <c r="G222" s="135">
        <v>245</v>
      </c>
      <c r="H222" s="109" t="s">
        <v>416</v>
      </c>
    </row>
    <row r="223" spans="1:8" ht="19.899999999999999">
      <c r="A223" s="104" t="s">
        <v>63</v>
      </c>
      <c r="B223" s="105" t="s">
        <v>414</v>
      </c>
      <c r="C223" s="37" t="s">
        <v>419</v>
      </c>
      <c r="D223" s="106">
        <v>2024</v>
      </c>
      <c r="E223" s="107" t="s">
        <v>409</v>
      </c>
      <c r="F223" s="108">
        <v>247</v>
      </c>
      <c r="G223" s="135">
        <v>249</v>
      </c>
      <c r="H223" s="109" t="s">
        <v>416</v>
      </c>
    </row>
    <row r="224" spans="1:8" ht="19.899999999999999">
      <c r="A224" s="104" t="s">
        <v>63</v>
      </c>
      <c r="B224" s="105" t="s">
        <v>414</v>
      </c>
      <c r="C224" s="37" t="s">
        <v>420</v>
      </c>
      <c r="D224" s="106">
        <v>2024</v>
      </c>
      <c r="E224" s="107" t="s">
        <v>409</v>
      </c>
      <c r="F224" s="108">
        <v>253</v>
      </c>
      <c r="G224" s="135">
        <v>259</v>
      </c>
      <c r="H224" s="109" t="s">
        <v>416</v>
      </c>
    </row>
    <row r="225" spans="1:8" ht="19.899999999999999">
      <c r="A225" s="104" t="s">
        <v>63</v>
      </c>
      <c r="B225" s="105" t="s">
        <v>414</v>
      </c>
      <c r="C225" s="37" t="s">
        <v>421</v>
      </c>
      <c r="D225" s="106">
        <v>2024</v>
      </c>
      <c r="E225" s="107" t="s">
        <v>409</v>
      </c>
      <c r="F225" s="108">
        <v>247</v>
      </c>
      <c r="G225" s="135">
        <v>249</v>
      </c>
      <c r="H225" s="109" t="s">
        <v>416</v>
      </c>
    </row>
    <row r="226" spans="1:8" ht="19.899999999999999">
      <c r="A226" s="104" t="s">
        <v>63</v>
      </c>
      <c r="B226" s="105" t="s">
        <v>422</v>
      </c>
      <c r="C226" s="37" t="s">
        <v>423</v>
      </c>
      <c r="D226" s="106">
        <v>2024</v>
      </c>
      <c r="E226" s="107" t="s">
        <v>134</v>
      </c>
      <c r="F226" s="108">
        <v>11.4</v>
      </c>
      <c r="G226" s="135">
        <v>12.1</v>
      </c>
      <c r="H226" s="109" t="s">
        <v>141</v>
      </c>
    </row>
    <row r="227" spans="1:8" ht="19.899999999999999">
      <c r="A227" s="104" t="s">
        <v>63</v>
      </c>
      <c r="B227" s="105" t="s">
        <v>424</v>
      </c>
      <c r="C227" s="37" t="s">
        <v>425</v>
      </c>
      <c r="D227" s="106">
        <v>2025</v>
      </c>
      <c r="E227" s="107" t="s">
        <v>113</v>
      </c>
      <c r="F227" s="112">
        <v>0.89</v>
      </c>
      <c r="G227" s="138">
        <v>0.874</v>
      </c>
      <c r="H227" s="109" t="s">
        <v>426</v>
      </c>
    </row>
    <row r="228" spans="1:8" ht="19.899999999999999">
      <c r="A228" s="104" t="s">
        <v>63</v>
      </c>
      <c r="B228" s="105" t="s">
        <v>424</v>
      </c>
      <c r="C228" s="37" t="s">
        <v>427</v>
      </c>
      <c r="D228" s="106">
        <v>2025</v>
      </c>
      <c r="E228" s="107" t="s">
        <v>113</v>
      </c>
      <c r="F228" s="112">
        <v>0.219</v>
      </c>
      <c r="G228" s="138">
        <v>0.26700000000000002</v>
      </c>
      <c r="H228" s="109" t="s">
        <v>426</v>
      </c>
    </row>
    <row r="229" spans="1:8" ht="19.899999999999999">
      <c r="A229" s="104" t="s">
        <v>63</v>
      </c>
      <c r="B229" s="105" t="s">
        <v>428</v>
      </c>
      <c r="C229" s="37" t="s">
        <v>429</v>
      </c>
      <c r="D229" s="106">
        <v>2025</v>
      </c>
      <c r="E229" s="107" t="s">
        <v>110</v>
      </c>
      <c r="F229" s="110">
        <v>31269</v>
      </c>
      <c r="G229" s="136">
        <v>1455639</v>
      </c>
      <c r="H229" s="109" t="s">
        <v>430</v>
      </c>
    </row>
    <row r="230" spans="1:8" ht="19.899999999999999">
      <c r="A230" s="104" t="s">
        <v>63</v>
      </c>
      <c r="B230" s="105" t="s">
        <v>428</v>
      </c>
      <c r="C230" s="37" t="s">
        <v>431</v>
      </c>
      <c r="D230" s="106">
        <v>2024</v>
      </c>
      <c r="E230" s="107" t="s">
        <v>110</v>
      </c>
      <c r="F230" s="110">
        <v>29641</v>
      </c>
      <c r="G230" s="136">
        <v>1386099</v>
      </c>
      <c r="H230" s="109" t="s">
        <v>430</v>
      </c>
    </row>
    <row r="231" spans="1:8" ht="19.899999999999999">
      <c r="A231" s="104" t="s">
        <v>63</v>
      </c>
      <c r="B231" s="105" t="s">
        <v>428</v>
      </c>
      <c r="C231" s="37" t="s">
        <v>432</v>
      </c>
      <c r="D231" s="106">
        <v>2023</v>
      </c>
      <c r="E231" s="107" t="s">
        <v>110</v>
      </c>
      <c r="F231" s="110">
        <v>28640</v>
      </c>
      <c r="G231" s="136">
        <v>1341448</v>
      </c>
      <c r="H231" s="109" t="s">
        <v>430</v>
      </c>
    </row>
    <row r="232" spans="1:8" ht="19.899999999999999">
      <c r="A232" s="104" t="s">
        <v>63</v>
      </c>
      <c r="B232" s="105" t="s">
        <v>428</v>
      </c>
      <c r="C232" s="37" t="s">
        <v>433</v>
      </c>
      <c r="D232" s="106">
        <v>2022</v>
      </c>
      <c r="E232" s="107" t="s">
        <v>110</v>
      </c>
      <c r="F232" s="110">
        <v>27308</v>
      </c>
      <c r="G232" s="136">
        <v>1304147</v>
      </c>
      <c r="H232" s="109" t="s">
        <v>430</v>
      </c>
    </row>
    <row r="233" spans="1:8" ht="19.899999999999999">
      <c r="A233" s="104" t="s">
        <v>63</v>
      </c>
      <c r="B233" s="105" t="s">
        <v>428</v>
      </c>
      <c r="C233" s="37" t="s">
        <v>434</v>
      </c>
      <c r="D233" s="106">
        <v>2021</v>
      </c>
      <c r="E233" s="107" t="s">
        <v>110</v>
      </c>
      <c r="F233" s="110">
        <v>27088</v>
      </c>
      <c r="G233" s="136">
        <v>1294701</v>
      </c>
      <c r="H233" s="109" t="s">
        <v>430</v>
      </c>
    </row>
    <row r="234" spans="1:8" ht="39.6">
      <c r="A234" s="104" t="s">
        <v>65</v>
      </c>
      <c r="B234" s="105" t="s">
        <v>435</v>
      </c>
      <c r="C234" s="37" t="s">
        <v>436</v>
      </c>
      <c r="D234" s="106">
        <v>2025</v>
      </c>
      <c r="E234" s="107" t="s">
        <v>110</v>
      </c>
      <c r="F234" s="110">
        <v>105164</v>
      </c>
      <c r="G234" s="136">
        <v>2239224</v>
      </c>
      <c r="H234" s="109" t="s">
        <v>437</v>
      </c>
    </row>
    <row r="235" spans="1:8" ht="19.899999999999999">
      <c r="A235" s="104" t="s">
        <v>65</v>
      </c>
      <c r="B235" s="105" t="s">
        <v>435</v>
      </c>
      <c r="C235" s="37" t="s">
        <v>438</v>
      </c>
      <c r="D235" s="106">
        <v>2025</v>
      </c>
      <c r="E235" s="107" t="s">
        <v>110</v>
      </c>
      <c r="F235" s="110">
        <v>27526</v>
      </c>
      <c r="G235" s="136">
        <v>363027</v>
      </c>
      <c r="H235" s="109" t="s">
        <v>437</v>
      </c>
    </row>
    <row r="236" spans="1:8" ht="39.6">
      <c r="A236" s="104" t="s">
        <v>65</v>
      </c>
      <c r="B236" s="105" t="s">
        <v>435</v>
      </c>
      <c r="C236" s="37" t="s">
        <v>439</v>
      </c>
      <c r="D236" s="106">
        <v>2025</v>
      </c>
      <c r="E236" s="107" t="s">
        <v>440</v>
      </c>
      <c r="F236" s="115">
        <v>1017.8</v>
      </c>
      <c r="G236" s="142">
        <v>1108.0999999999999</v>
      </c>
      <c r="H236" s="109" t="s">
        <v>437</v>
      </c>
    </row>
    <row r="237" spans="1:8" ht="19.899999999999999">
      <c r="A237" s="104" t="s">
        <v>65</v>
      </c>
      <c r="B237" s="105" t="s">
        <v>435</v>
      </c>
      <c r="C237" s="37" t="s">
        <v>441</v>
      </c>
      <c r="D237" s="106">
        <v>2025</v>
      </c>
      <c r="E237" s="107" t="s">
        <v>440</v>
      </c>
      <c r="F237" s="115">
        <v>266.39999999999998</v>
      </c>
      <c r="G237" s="142">
        <v>179.7</v>
      </c>
      <c r="H237" s="109" t="s">
        <v>437</v>
      </c>
    </row>
    <row r="238" spans="1:8" ht="39.6">
      <c r="A238" s="104" t="s">
        <v>65</v>
      </c>
      <c r="B238" s="105" t="s">
        <v>435</v>
      </c>
      <c r="C238" s="37" t="s">
        <v>442</v>
      </c>
      <c r="D238" s="106">
        <v>2025</v>
      </c>
      <c r="E238" s="107" t="s">
        <v>440</v>
      </c>
      <c r="F238" s="115">
        <v>1284.2</v>
      </c>
      <c r="G238" s="142">
        <v>1287.8</v>
      </c>
      <c r="H238" s="109" t="s">
        <v>437</v>
      </c>
    </row>
    <row r="239" spans="1:8" ht="19.899999999999999">
      <c r="A239" s="104" t="s">
        <v>65</v>
      </c>
      <c r="B239" s="105" t="s">
        <v>443</v>
      </c>
      <c r="C239" s="37" t="s">
        <v>444</v>
      </c>
      <c r="D239" s="106" t="s">
        <v>102</v>
      </c>
      <c r="E239" s="107" t="s">
        <v>445</v>
      </c>
      <c r="F239" s="108">
        <v>15</v>
      </c>
      <c r="G239" s="135"/>
      <c r="H239" s="109" t="s">
        <v>437</v>
      </c>
    </row>
    <row r="240" spans="1:8" ht="19.899999999999999">
      <c r="A240" s="104" t="s">
        <v>65</v>
      </c>
      <c r="B240" s="105" t="s">
        <v>443</v>
      </c>
      <c r="C240" s="37" t="s">
        <v>446</v>
      </c>
      <c r="D240" s="106" t="s">
        <v>102</v>
      </c>
      <c r="E240" s="107" t="s">
        <v>445</v>
      </c>
      <c r="F240" s="108">
        <v>8</v>
      </c>
      <c r="G240" s="135"/>
      <c r="H240" s="109" t="s">
        <v>437</v>
      </c>
    </row>
    <row r="241" spans="1:8" ht="19.899999999999999">
      <c r="A241" s="104" t="s">
        <v>65</v>
      </c>
      <c r="B241" s="105" t="s">
        <v>447</v>
      </c>
      <c r="C241" s="37" t="s">
        <v>448</v>
      </c>
      <c r="D241" s="106" t="s">
        <v>102</v>
      </c>
      <c r="E241" s="107" t="s">
        <v>449</v>
      </c>
      <c r="F241" s="110">
        <v>2374</v>
      </c>
      <c r="G241" s="136">
        <v>40082</v>
      </c>
      <c r="H241" s="109" t="s">
        <v>450</v>
      </c>
    </row>
    <row r="242" spans="1:8" ht="39.6">
      <c r="A242" s="104" t="s">
        <v>65</v>
      </c>
      <c r="B242" s="105" t="s">
        <v>447</v>
      </c>
      <c r="C242" s="37" t="s">
        <v>451</v>
      </c>
      <c r="D242" s="106" t="s">
        <v>102</v>
      </c>
      <c r="E242" s="107" t="s">
        <v>113</v>
      </c>
      <c r="F242" s="112">
        <v>5.92285814081134E-2</v>
      </c>
      <c r="G242" s="138"/>
      <c r="H242" s="109" t="s">
        <v>450</v>
      </c>
    </row>
    <row r="243" spans="1:8" ht="19.899999999999999">
      <c r="A243" s="104" t="s">
        <v>65</v>
      </c>
      <c r="B243" s="105" t="s">
        <v>452</v>
      </c>
      <c r="C243" s="37" t="s">
        <v>453</v>
      </c>
      <c r="D243" s="106" t="s">
        <v>102</v>
      </c>
      <c r="E243" s="107" t="s">
        <v>454</v>
      </c>
      <c r="F243" s="119">
        <v>23.1</v>
      </c>
      <c r="G243" s="146">
        <v>20</v>
      </c>
      <c r="H243" s="109" t="s">
        <v>450</v>
      </c>
    </row>
    <row r="244" spans="1:8" ht="39.6">
      <c r="A244" s="104" t="s">
        <v>65</v>
      </c>
      <c r="B244" s="105" t="s">
        <v>452</v>
      </c>
      <c r="C244" s="37" t="s">
        <v>455</v>
      </c>
      <c r="D244" s="106" t="s">
        <v>102</v>
      </c>
      <c r="E244" s="107" t="s">
        <v>456</v>
      </c>
      <c r="F244" s="119">
        <v>19.399999999999999</v>
      </c>
      <c r="G244" s="146">
        <v>14.5</v>
      </c>
      <c r="H244" s="109" t="s">
        <v>450</v>
      </c>
    </row>
    <row r="245" spans="1:8" ht="19.899999999999999">
      <c r="A245" s="104" t="s">
        <v>65</v>
      </c>
      <c r="B245" s="105" t="s">
        <v>457</v>
      </c>
      <c r="C245" s="37" t="s">
        <v>458</v>
      </c>
      <c r="D245" s="106">
        <v>2023</v>
      </c>
      <c r="E245" s="107" t="s">
        <v>459</v>
      </c>
      <c r="F245" s="110">
        <v>1469</v>
      </c>
      <c r="G245" s="136">
        <v>37397</v>
      </c>
      <c r="H245" s="109" t="s">
        <v>460</v>
      </c>
    </row>
    <row r="246" spans="1:8" ht="19.899999999999999">
      <c r="A246" s="104" t="s">
        <v>65</v>
      </c>
      <c r="B246" s="105" t="s">
        <v>457</v>
      </c>
      <c r="C246" s="37" t="s">
        <v>461</v>
      </c>
      <c r="D246" s="106">
        <v>2023</v>
      </c>
      <c r="E246" s="107" t="s">
        <v>462</v>
      </c>
      <c r="F246" s="119">
        <v>1.5</v>
      </c>
      <c r="G246" s="146">
        <v>1.9</v>
      </c>
      <c r="H246" s="109" t="s">
        <v>460</v>
      </c>
    </row>
    <row r="247" spans="1:8" ht="19.899999999999999">
      <c r="A247" s="104" t="s">
        <v>65</v>
      </c>
      <c r="B247" s="105" t="s">
        <v>463</v>
      </c>
      <c r="C247" s="37" t="s">
        <v>464</v>
      </c>
      <c r="D247" s="106">
        <v>2023</v>
      </c>
      <c r="E247" s="107" t="s">
        <v>459</v>
      </c>
      <c r="F247" s="110">
        <v>284</v>
      </c>
      <c r="G247" s="136">
        <v>6532</v>
      </c>
      <c r="H247" s="109" t="s">
        <v>460</v>
      </c>
    </row>
    <row r="248" spans="1:8" ht="19.899999999999999">
      <c r="A248" s="104" t="s">
        <v>65</v>
      </c>
      <c r="B248" s="105" t="s">
        <v>463</v>
      </c>
      <c r="C248" s="37" t="s">
        <v>465</v>
      </c>
      <c r="D248" s="106">
        <v>2023</v>
      </c>
      <c r="E248" s="107" t="s">
        <v>466</v>
      </c>
      <c r="F248" s="120">
        <v>2.81</v>
      </c>
      <c r="G248" s="147">
        <v>3.29</v>
      </c>
      <c r="H248" s="109" t="s">
        <v>460</v>
      </c>
    </row>
    <row r="249" spans="1:8" ht="19.899999999999999">
      <c r="A249" s="104" t="s">
        <v>50</v>
      </c>
      <c r="B249" s="105" t="s">
        <v>89</v>
      </c>
      <c r="C249" s="37" t="s">
        <v>467</v>
      </c>
      <c r="D249" s="106" t="s">
        <v>468</v>
      </c>
      <c r="E249" s="107" t="s">
        <v>113</v>
      </c>
      <c r="F249" s="112">
        <v>0.104</v>
      </c>
      <c r="G249" s="138">
        <v>9.4E-2</v>
      </c>
      <c r="H249" s="109" t="s">
        <v>164</v>
      </c>
    </row>
    <row r="250" spans="1:8" ht="19.899999999999999">
      <c r="A250" s="104" t="s">
        <v>50</v>
      </c>
      <c r="B250" s="105" t="s">
        <v>89</v>
      </c>
      <c r="C250" s="37" t="s">
        <v>469</v>
      </c>
      <c r="D250" s="106">
        <v>2025</v>
      </c>
      <c r="E250" s="107" t="s">
        <v>113</v>
      </c>
      <c r="F250" s="112">
        <v>8.3000000000000004E-2</v>
      </c>
      <c r="G250" s="138">
        <v>8.5999999999999993E-2</v>
      </c>
      <c r="H250" s="109" t="s">
        <v>164</v>
      </c>
    </row>
    <row r="251" spans="1:8" ht="19.899999999999999">
      <c r="A251" s="104" t="s">
        <v>50</v>
      </c>
      <c r="B251" s="105" t="s">
        <v>89</v>
      </c>
      <c r="C251" s="37" t="s">
        <v>470</v>
      </c>
      <c r="D251" s="106">
        <v>2024</v>
      </c>
      <c r="E251" s="107" t="s">
        <v>113</v>
      </c>
      <c r="F251" s="112">
        <v>8.6999999999999994E-2</v>
      </c>
      <c r="G251" s="138">
        <v>8.5000000000000006E-2</v>
      </c>
      <c r="H251" s="109" t="s">
        <v>164</v>
      </c>
    </row>
    <row r="252" spans="1:8" ht="19.899999999999999">
      <c r="A252" s="104" t="s">
        <v>50</v>
      </c>
      <c r="B252" s="105" t="s">
        <v>89</v>
      </c>
      <c r="C252" s="37" t="s">
        <v>471</v>
      </c>
      <c r="D252" s="106">
        <v>2023</v>
      </c>
      <c r="E252" s="107" t="s">
        <v>113</v>
      </c>
      <c r="F252" s="112">
        <v>8.5999999999999993E-2</v>
      </c>
      <c r="G252" s="138">
        <v>8.6999999999999994E-2</v>
      </c>
      <c r="H252" s="109" t="s">
        <v>164</v>
      </c>
    </row>
    <row r="253" spans="1:8" ht="19.899999999999999">
      <c r="A253" s="104" t="s">
        <v>50</v>
      </c>
      <c r="B253" s="105" t="s">
        <v>89</v>
      </c>
      <c r="C253" s="37" t="s">
        <v>472</v>
      </c>
      <c r="D253" s="106">
        <v>2022</v>
      </c>
      <c r="E253" s="107" t="s">
        <v>113</v>
      </c>
      <c r="F253" s="112">
        <v>7.0000000000000007E-2</v>
      </c>
      <c r="G253" s="138">
        <v>7.9000000000000001E-2</v>
      </c>
      <c r="H253" s="109" t="s">
        <v>164</v>
      </c>
    </row>
    <row r="254" spans="1:8" ht="19.899999999999999">
      <c r="A254" s="104" t="s">
        <v>50</v>
      </c>
      <c r="B254" s="105" t="s">
        <v>89</v>
      </c>
      <c r="C254" s="37" t="s">
        <v>473</v>
      </c>
      <c r="D254" s="106">
        <v>2021</v>
      </c>
      <c r="E254" s="107" t="s">
        <v>113</v>
      </c>
      <c r="F254" s="112">
        <v>8.7999999999999995E-2</v>
      </c>
      <c r="G254" s="138">
        <v>8.7999999999999995E-2</v>
      </c>
      <c r="H254" s="109" t="s">
        <v>164</v>
      </c>
    </row>
    <row r="255" spans="1:8" ht="19.899999999999999">
      <c r="A255" s="104" t="s">
        <v>50</v>
      </c>
      <c r="B255" s="105" t="s">
        <v>89</v>
      </c>
      <c r="C255" s="37" t="s">
        <v>474</v>
      </c>
      <c r="D255" s="106">
        <v>2020</v>
      </c>
      <c r="E255" s="107" t="s">
        <v>113</v>
      </c>
      <c r="F255" s="112">
        <v>0.108</v>
      </c>
      <c r="G255" s="138">
        <v>0.105</v>
      </c>
      <c r="H255" s="109" t="s">
        <v>164</v>
      </c>
    </row>
    <row r="256" spans="1:8" ht="19.899999999999999">
      <c r="A256" s="104" t="s">
        <v>50</v>
      </c>
      <c r="B256" s="105" t="s">
        <v>89</v>
      </c>
      <c r="C256" s="37" t="s">
        <v>475</v>
      </c>
      <c r="D256" s="106">
        <v>2019</v>
      </c>
      <c r="E256" s="107" t="s">
        <v>113</v>
      </c>
      <c r="F256" s="112">
        <v>7.6999999999999999E-2</v>
      </c>
      <c r="G256" s="138">
        <v>7.1999999999999995E-2</v>
      </c>
      <c r="H256" s="109" t="s">
        <v>164</v>
      </c>
    </row>
    <row r="257" spans="1:8" ht="19.899999999999999">
      <c r="A257" s="104" t="s">
        <v>50</v>
      </c>
      <c r="B257" s="105" t="s">
        <v>89</v>
      </c>
      <c r="C257" s="37" t="s">
        <v>476</v>
      </c>
      <c r="D257" s="106">
        <v>2018</v>
      </c>
      <c r="E257" s="107" t="s">
        <v>113</v>
      </c>
      <c r="F257" s="112">
        <v>7.5999999999999998E-2</v>
      </c>
      <c r="G257" s="138">
        <v>7.3999999999999996E-2</v>
      </c>
      <c r="H257" s="109" t="s">
        <v>164</v>
      </c>
    </row>
    <row r="258" spans="1:8" ht="19.899999999999999">
      <c r="A258" s="104" t="s">
        <v>50</v>
      </c>
      <c r="B258" s="105" t="s">
        <v>89</v>
      </c>
      <c r="C258" s="37" t="s">
        <v>477</v>
      </c>
      <c r="D258" s="106">
        <v>2017</v>
      </c>
      <c r="E258" s="107" t="s">
        <v>113</v>
      </c>
      <c r="F258" s="112">
        <v>6.8000000000000005E-2</v>
      </c>
      <c r="G258" s="138">
        <v>7.0000000000000007E-2</v>
      </c>
      <c r="H258" s="109" t="s">
        <v>164</v>
      </c>
    </row>
    <row r="259" spans="1:8" ht="19.899999999999999">
      <c r="A259" s="104" t="s">
        <v>50</v>
      </c>
      <c r="B259" s="105" t="s">
        <v>89</v>
      </c>
      <c r="C259" s="37" t="s">
        <v>478</v>
      </c>
      <c r="D259" s="106">
        <v>2016</v>
      </c>
      <c r="E259" s="107" t="s">
        <v>113</v>
      </c>
      <c r="F259" s="112">
        <v>6.5000000000000002E-2</v>
      </c>
      <c r="G259" s="138">
        <v>6.7000000000000004E-2</v>
      </c>
      <c r="H259" s="109" t="s">
        <v>164</v>
      </c>
    </row>
    <row r="260" spans="1:8" ht="19.899999999999999">
      <c r="A260" s="104" t="s">
        <v>50</v>
      </c>
      <c r="B260" s="105" t="s">
        <v>89</v>
      </c>
      <c r="C260" s="37" t="s">
        <v>479</v>
      </c>
      <c r="D260" s="106">
        <v>2015</v>
      </c>
      <c r="E260" s="107" t="s">
        <v>113</v>
      </c>
      <c r="F260" s="112">
        <v>5.7000000000000002E-2</v>
      </c>
      <c r="G260" s="138">
        <v>6.3E-2</v>
      </c>
      <c r="H260" s="109" t="s">
        <v>164</v>
      </c>
    </row>
    <row r="261" spans="1:8" ht="19.899999999999999">
      <c r="A261" s="104" t="s">
        <v>50</v>
      </c>
      <c r="B261" s="105" t="s">
        <v>89</v>
      </c>
      <c r="C261" s="37" t="s">
        <v>480</v>
      </c>
      <c r="D261" s="106" t="s">
        <v>468</v>
      </c>
      <c r="E261" s="107" t="s">
        <v>113</v>
      </c>
      <c r="F261" s="112">
        <v>7.6999999999999999E-2</v>
      </c>
      <c r="G261" s="138">
        <v>8.6999999999999994E-2</v>
      </c>
      <c r="H261" s="109" t="s">
        <v>164</v>
      </c>
    </row>
    <row r="262" spans="1:8" ht="19.899999999999999">
      <c r="A262" s="104" t="s">
        <v>50</v>
      </c>
      <c r="B262" s="105" t="s">
        <v>89</v>
      </c>
      <c r="C262" s="37" t="s">
        <v>481</v>
      </c>
      <c r="D262" s="106">
        <v>2025</v>
      </c>
      <c r="E262" s="107" t="s">
        <v>113</v>
      </c>
      <c r="F262" s="112">
        <v>7.1999999999999995E-2</v>
      </c>
      <c r="G262" s="138">
        <v>0.08</v>
      </c>
      <c r="H262" s="109" t="s">
        <v>164</v>
      </c>
    </row>
    <row r="263" spans="1:8" ht="19.899999999999999">
      <c r="A263" s="104" t="s">
        <v>50</v>
      </c>
      <c r="B263" s="105" t="s">
        <v>89</v>
      </c>
      <c r="C263" s="37" t="s">
        <v>482</v>
      </c>
      <c r="D263" s="106">
        <v>2024</v>
      </c>
      <c r="E263" s="107" t="s">
        <v>113</v>
      </c>
      <c r="F263" s="112">
        <v>7.3999999999999996E-2</v>
      </c>
      <c r="G263" s="138">
        <v>7.9000000000000001E-2</v>
      </c>
      <c r="H263" s="109" t="s">
        <v>164</v>
      </c>
    </row>
    <row r="264" spans="1:8" ht="19.899999999999999">
      <c r="A264" s="104" t="s">
        <v>50</v>
      </c>
      <c r="B264" s="105" t="s">
        <v>89</v>
      </c>
      <c r="C264" s="37" t="s">
        <v>483</v>
      </c>
      <c r="D264" s="106">
        <v>2023</v>
      </c>
      <c r="E264" s="107" t="s">
        <v>113</v>
      </c>
      <c r="F264" s="112">
        <v>0.08</v>
      </c>
      <c r="G264" s="138">
        <v>8.4000000000000005E-2</v>
      </c>
      <c r="H264" s="109" t="s">
        <v>164</v>
      </c>
    </row>
    <row r="265" spans="1:8" ht="19.899999999999999">
      <c r="A265" s="104" t="s">
        <v>50</v>
      </c>
      <c r="B265" s="105" t="s">
        <v>89</v>
      </c>
      <c r="C265" s="37" t="s">
        <v>484</v>
      </c>
      <c r="D265" s="106">
        <v>2022</v>
      </c>
      <c r="E265" s="107" t="s">
        <v>113</v>
      </c>
      <c r="F265" s="112">
        <v>6.4000000000000001E-2</v>
      </c>
      <c r="G265" s="138">
        <v>7.3999999999999996E-2</v>
      </c>
      <c r="H265" s="109" t="s">
        <v>164</v>
      </c>
    </row>
    <row r="266" spans="1:8" ht="19.899999999999999">
      <c r="A266" s="104" t="s">
        <v>50</v>
      </c>
      <c r="B266" s="105" t="s">
        <v>89</v>
      </c>
      <c r="C266" s="37" t="s">
        <v>485</v>
      </c>
      <c r="D266" s="106">
        <v>2021</v>
      </c>
      <c r="E266" s="107" t="s">
        <v>113</v>
      </c>
      <c r="F266" s="112">
        <v>8.4000000000000005E-2</v>
      </c>
      <c r="G266" s="138">
        <v>8.5999999999999993E-2</v>
      </c>
      <c r="H266" s="109" t="s">
        <v>164</v>
      </c>
    </row>
    <row r="267" spans="1:8" ht="19.899999999999999">
      <c r="A267" s="104" t="s">
        <v>50</v>
      </c>
      <c r="B267" s="105" t="s">
        <v>89</v>
      </c>
      <c r="C267" s="37" t="s">
        <v>486</v>
      </c>
      <c r="D267" s="106">
        <v>2020</v>
      </c>
      <c r="E267" s="107" t="s">
        <v>113</v>
      </c>
      <c r="F267" s="112">
        <v>0.104</v>
      </c>
      <c r="G267" s="138">
        <v>0.10299999999999999</v>
      </c>
      <c r="H267" s="109" t="s">
        <v>164</v>
      </c>
    </row>
    <row r="268" spans="1:8" ht="19.899999999999999">
      <c r="A268" s="104" t="s">
        <v>50</v>
      </c>
      <c r="B268" s="105" t="s">
        <v>89</v>
      </c>
      <c r="C268" s="37" t="s">
        <v>487</v>
      </c>
      <c r="D268" s="106">
        <v>2019</v>
      </c>
      <c r="E268" s="107" t="s">
        <v>113</v>
      </c>
      <c r="F268" s="112">
        <v>8.2000000000000003E-2</v>
      </c>
      <c r="G268" s="138">
        <v>6.7000000000000004E-2</v>
      </c>
      <c r="H268" s="109" t="s">
        <v>164</v>
      </c>
    </row>
    <row r="269" spans="1:8" ht="19.899999999999999">
      <c r="A269" s="104" t="s">
        <v>50</v>
      </c>
      <c r="B269" s="105" t="s">
        <v>89</v>
      </c>
      <c r="C269" s="37" t="s">
        <v>488</v>
      </c>
      <c r="D269" s="106">
        <v>2018</v>
      </c>
      <c r="E269" s="107" t="s">
        <v>113</v>
      </c>
      <c r="F269" s="112">
        <v>7.3999999999999996E-2</v>
      </c>
      <c r="G269" s="138">
        <v>6.7000000000000004E-2</v>
      </c>
      <c r="H269" s="109" t="s">
        <v>164</v>
      </c>
    </row>
    <row r="270" spans="1:8" ht="19.899999999999999">
      <c r="A270" s="104" t="s">
        <v>50</v>
      </c>
      <c r="B270" s="105" t="s">
        <v>89</v>
      </c>
      <c r="C270" s="37" t="s">
        <v>489</v>
      </c>
      <c r="D270" s="106">
        <v>2017</v>
      </c>
      <c r="E270" s="107" t="s">
        <v>113</v>
      </c>
      <c r="F270" s="112">
        <v>5.8999999999999997E-2</v>
      </c>
      <c r="G270" s="138">
        <v>6.5000000000000002E-2</v>
      </c>
      <c r="H270" s="109" t="s">
        <v>164</v>
      </c>
    </row>
    <row r="271" spans="1:8" ht="19.899999999999999">
      <c r="A271" s="104" t="s">
        <v>50</v>
      </c>
      <c r="B271" s="105" t="s">
        <v>89</v>
      </c>
      <c r="C271" s="37" t="s">
        <v>490</v>
      </c>
      <c r="D271" s="106">
        <v>2016</v>
      </c>
      <c r="E271" s="107" t="s">
        <v>113</v>
      </c>
      <c r="F271" s="112">
        <v>5.5E-2</v>
      </c>
      <c r="G271" s="138">
        <v>6.3E-2</v>
      </c>
      <c r="H271" s="109" t="s">
        <v>164</v>
      </c>
    </row>
    <row r="272" spans="1:8" ht="19.899999999999999">
      <c r="A272" s="104" t="s">
        <v>50</v>
      </c>
      <c r="B272" s="105" t="s">
        <v>89</v>
      </c>
      <c r="C272" s="37" t="s">
        <v>491</v>
      </c>
      <c r="D272" s="106">
        <v>2015</v>
      </c>
      <c r="E272" s="107" t="s">
        <v>113</v>
      </c>
      <c r="F272" s="112">
        <v>5.2999999999999999E-2</v>
      </c>
      <c r="G272" s="138">
        <v>5.8000000000000003E-2</v>
      </c>
      <c r="H272" s="109" t="s">
        <v>164</v>
      </c>
    </row>
    <row r="273" spans="1:8" ht="19.899999999999999">
      <c r="A273" s="104" t="s">
        <v>50</v>
      </c>
      <c r="B273" s="105" t="s">
        <v>89</v>
      </c>
      <c r="C273" s="37" t="s">
        <v>492</v>
      </c>
      <c r="D273" s="106" t="s">
        <v>468</v>
      </c>
      <c r="E273" s="107" t="s">
        <v>113</v>
      </c>
      <c r="F273" s="112">
        <v>0.14199999999999999</v>
      </c>
      <c r="G273" s="138">
        <v>0.104</v>
      </c>
      <c r="H273" s="109" t="s">
        <v>164</v>
      </c>
    </row>
    <row r="274" spans="1:8" ht="19.899999999999999">
      <c r="A274" s="104" t="s">
        <v>50</v>
      </c>
      <c r="B274" s="105" t="s">
        <v>89</v>
      </c>
      <c r="C274" s="37" t="s">
        <v>493</v>
      </c>
      <c r="D274" s="106">
        <v>2025</v>
      </c>
      <c r="E274" s="107" t="s">
        <v>113</v>
      </c>
      <c r="F274" s="112">
        <v>9.8000000000000004E-2</v>
      </c>
      <c r="G274" s="138">
        <v>9.2999999999999999E-2</v>
      </c>
      <c r="H274" s="109" t="s">
        <v>164</v>
      </c>
    </row>
    <row r="275" spans="1:8" ht="19.899999999999999">
      <c r="A275" s="104" t="s">
        <v>50</v>
      </c>
      <c r="B275" s="105" t="s">
        <v>89</v>
      </c>
      <c r="C275" s="37" t="s">
        <v>494</v>
      </c>
      <c r="D275" s="106">
        <v>2024</v>
      </c>
      <c r="E275" s="107" t="s">
        <v>113</v>
      </c>
      <c r="F275" s="112">
        <v>0.105</v>
      </c>
      <c r="G275" s="138">
        <v>9.2999999999999999E-2</v>
      </c>
      <c r="H275" s="109" t="s">
        <v>164</v>
      </c>
    </row>
    <row r="276" spans="1:8" ht="19.899999999999999">
      <c r="A276" s="104" t="s">
        <v>50</v>
      </c>
      <c r="B276" s="105" t="s">
        <v>89</v>
      </c>
      <c r="C276" s="37" t="s">
        <v>495</v>
      </c>
      <c r="D276" s="106">
        <v>2023</v>
      </c>
      <c r="E276" s="107" t="s">
        <v>113</v>
      </c>
      <c r="F276" s="112">
        <v>9.5000000000000001E-2</v>
      </c>
      <c r="G276" s="138">
        <v>9.0999999999999998E-2</v>
      </c>
      <c r="H276" s="109" t="s">
        <v>164</v>
      </c>
    </row>
    <row r="277" spans="1:8" ht="19.899999999999999">
      <c r="A277" s="104" t="s">
        <v>50</v>
      </c>
      <c r="B277" s="105" t="s">
        <v>89</v>
      </c>
      <c r="C277" s="37" t="s">
        <v>496</v>
      </c>
      <c r="D277" s="106">
        <v>2022</v>
      </c>
      <c r="E277" s="107" t="s">
        <v>113</v>
      </c>
      <c r="F277" s="112">
        <v>7.8E-2</v>
      </c>
      <c r="G277" s="138">
        <v>8.5000000000000006E-2</v>
      </c>
      <c r="H277" s="109" t="s">
        <v>164</v>
      </c>
    </row>
    <row r="278" spans="1:8" ht="19.899999999999999">
      <c r="A278" s="104" t="s">
        <v>50</v>
      </c>
      <c r="B278" s="105" t="s">
        <v>89</v>
      </c>
      <c r="C278" s="37" t="s">
        <v>497</v>
      </c>
      <c r="D278" s="106">
        <v>2021</v>
      </c>
      <c r="E278" s="107" t="s">
        <v>113</v>
      </c>
      <c r="F278" s="112">
        <v>9.4E-2</v>
      </c>
      <c r="G278" s="138">
        <v>9.0999999999999998E-2</v>
      </c>
      <c r="H278" s="109" t="s">
        <v>164</v>
      </c>
    </row>
    <row r="279" spans="1:8" ht="19.899999999999999">
      <c r="A279" s="104" t="s">
        <v>50</v>
      </c>
      <c r="B279" s="105" t="s">
        <v>89</v>
      </c>
      <c r="C279" s="37" t="s">
        <v>498</v>
      </c>
      <c r="D279" s="106">
        <v>2020</v>
      </c>
      <c r="E279" s="107" t="s">
        <v>113</v>
      </c>
      <c r="F279" s="112">
        <v>0.113</v>
      </c>
      <c r="G279" s="138">
        <v>0.109</v>
      </c>
      <c r="H279" s="109" t="s">
        <v>164</v>
      </c>
    </row>
    <row r="280" spans="1:8" ht="19.899999999999999">
      <c r="A280" s="104" t="s">
        <v>50</v>
      </c>
      <c r="B280" s="105" t="s">
        <v>89</v>
      </c>
      <c r="C280" s="37" t="s">
        <v>499</v>
      </c>
      <c r="D280" s="106">
        <v>2019</v>
      </c>
      <c r="E280" s="107" t="s">
        <v>113</v>
      </c>
      <c r="F280" s="112">
        <v>7.0000000000000007E-2</v>
      </c>
      <c r="G280" s="138">
        <v>0.08</v>
      </c>
      <c r="H280" s="109" t="s">
        <v>164</v>
      </c>
    </row>
    <row r="281" spans="1:8" ht="19.899999999999999">
      <c r="A281" s="104" t="s">
        <v>50</v>
      </c>
      <c r="B281" s="105" t="s">
        <v>89</v>
      </c>
      <c r="C281" s="37" t="s">
        <v>500</v>
      </c>
      <c r="D281" s="106">
        <v>2018</v>
      </c>
      <c r="E281" s="107" t="s">
        <v>113</v>
      </c>
      <c r="F281" s="112">
        <v>8.1000000000000003E-2</v>
      </c>
      <c r="G281" s="138">
        <v>8.3000000000000004E-2</v>
      </c>
      <c r="H281" s="109" t="s">
        <v>164</v>
      </c>
    </row>
    <row r="282" spans="1:8" ht="19.899999999999999">
      <c r="A282" s="104" t="s">
        <v>50</v>
      </c>
      <c r="B282" s="105" t="s">
        <v>89</v>
      </c>
      <c r="C282" s="37" t="s">
        <v>501</v>
      </c>
      <c r="D282" s="106">
        <v>2017</v>
      </c>
      <c r="E282" s="107" t="s">
        <v>113</v>
      </c>
      <c r="F282" s="112">
        <v>8.1000000000000003E-2</v>
      </c>
      <c r="G282" s="138">
        <v>7.4999999999999997E-2</v>
      </c>
      <c r="H282" s="109" t="s">
        <v>164</v>
      </c>
    </row>
    <row r="283" spans="1:8" ht="19.899999999999999">
      <c r="A283" s="104" t="s">
        <v>50</v>
      </c>
      <c r="B283" s="105" t="s">
        <v>89</v>
      </c>
      <c r="C283" s="37" t="s">
        <v>502</v>
      </c>
      <c r="D283" s="106">
        <v>2016</v>
      </c>
      <c r="E283" s="107" t="s">
        <v>113</v>
      </c>
      <c r="F283" s="112">
        <v>7.8E-2</v>
      </c>
      <c r="G283" s="138">
        <v>7.1999999999999995E-2</v>
      </c>
      <c r="H283" s="109" t="s">
        <v>164</v>
      </c>
    </row>
    <row r="284" spans="1:8" ht="19.899999999999999">
      <c r="A284" s="104" t="s">
        <v>50</v>
      </c>
      <c r="B284" s="105" t="s">
        <v>89</v>
      </c>
      <c r="C284" s="37" t="s">
        <v>503</v>
      </c>
      <c r="D284" s="106">
        <v>2015</v>
      </c>
      <c r="E284" s="107" t="s">
        <v>113</v>
      </c>
      <c r="F284" s="112">
        <v>6.5000000000000002E-2</v>
      </c>
      <c r="G284" s="138">
        <v>7.0000000000000007E-2</v>
      </c>
      <c r="H284" s="109" t="s">
        <v>164</v>
      </c>
    </row>
    <row r="285" spans="1:8" ht="19.899999999999999">
      <c r="A285" s="104" t="s">
        <v>50</v>
      </c>
      <c r="B285" s="105" t="s">
        <v>504</v>
      </c>
      <c r="C285" s="37" t="s">
        <v>505</v>
      </c>
      <c r="D285" s="106" t="s">
        <v>468</v>
      </c>
      <c r="E285" s="107" t="s">
        <v>113</v>
      </c>
      <c r="F285" s="112">
        <v>0.30299999999999999</v>
      </c>
      <c r="G285" s="138">
        <v>0.27</v>
      </c>
      <c r="H285" s="109" t="s">
        <v>164</v>
      </c>
    </row>
    <row r="286" spans="1:8" ht="19.899999999999999">
      <c r="A286" s="104" t="s">
        <v>50</v>
      </c>
      <c r="B286" s="105" t="s">
        <v>504</v>
      </c>
      <c r="C286" s="37" t="s">
        <v>506</v>
      </c>
      <c r="D286" s="106">
        <v>2025</v>
      </c>
      <c r="E286" s="107" t="s">
        <v>113</v>
      </c>
      <c r="F286" s="112">
        <v>0.28699999999999998</v>
      </c>
      <c r="G286" s="138">
        <v>0.26200000000000001</v>
      </c>
      <c r="H286" s="109" t="s">
        <v>164</v>
      </c>
    </row>
    <row r="287" spans="1:8" ht="19.899999999999999">
      <c r="A287" s="104" t="s">
        <v>50</v>
      </c>
      <c r="B287" s="105" t="s">
        <v>504</v>
      </c>
      <c r="C287" s="37" t="s">
        <v>507</v>
      </c>
      <c r="D287" s="106">
        <v>2024</v>
      </c>
      <c r="E287" s="107" t="s">
        <v>113</v>
      </c>
      <c r="F287" s="112">
        <v>0.28799999999999998</v>
      </c>
      <c r="G287" s="138">
        <v>0.26900000000000002</v>
      </c>
      <c r="H287" s="109" t="s">
        <v>164</v>
      </c>
    </row>
    <row r="288" spans="1:8" ht="19.899999999999999">
      <c r="A288" s="104" t="s">
        <v>50</v>
      </c>
      <c r="B288" s="105" t="s">
        <v>504</v>
      </c>
      <c r="C288" s="37" t="s">
        <v>508</v>
      </c>
      <c r="D288" s="106">
        <v>2023</v>
      </c>
      <c r="E288" s="107" t="s">
        <v>113</v>
      </c>
      <c r="F288" s="112">
        <v>0.28899999999999998</v>
      </c>
      <c r="G288" s="138">
        <v>0.27200000000000002</v>
      </c>
      <c r="H288" s="109" t="s">
        <v>164</v>
      </c>
    </row>
    <row r="289" spans="1:8" ht="19.899999999999999">
      <c r="A289" s="104" t="s">
        <v>50</v>
      </c>
      <c r="B289" s="105" t="s">
        <v>504</v>
      </c>
      <c r="C289" s="37" t="s">
        <v>509</v>
      </c>
      <c r="D289" s="106">
        <v>2022</v>
      </c>
      <c r="E289" s="107" t="s">
        <v>113</v>
      </c>
      <c r="F289" s="112">
        <v>0.28399999999999997</v>
      </c>
      <c r="G289" s="138">
        <v>0.27200000000000002</v>
      </c>
      <c r="H289" s="109" t="s">
        <v>164</v>
      </c>
    </row>
    <row r="290" spans="1:8" ht="19.899999999999999">
      <c r="A290" s="104" t="s">
        <v>50</v>
      </c>
      <c r="B290" s="105" t="s">
        <v>504</v>
      </c>
      <c r="C290" s="37" t="s">
        <v>510</v>
      </c>
      <c r="D290" s="106">
        <v>2021</v>
      </c>
      <c r="E290" s="107" t="s">
        <v>113</v>
      </c>
      <c r="F290" s="112">
        <v>0.26600000000000001</v>
      </c>
      <c r="G290" s="138">
        <v>0.27200000000000002</v>
      </c>
      <c r="H290" s="109" t="s">
        <v>164</v>
      </c>
    </row>
    <row r="291" spans="1:8" ht="19.899999999999999">
      <c r="A291" s="104" t="s">
        <v>50</v>
      </c>
      <c r="B291" s="105" t="s">
        <v>504</v>
      </c>
      <c r="C291" s="37" t="s">
        <v>511</v>
      </c>
      <c r="D291" s="106">
        <v>2020</v>
      </c>
      <c r="E291" s="107" t="s">
        <v>113</v>
      </c>
      <c r="F291" s="112">
        <v>0.252</v>
      </c>
      <c r="G291" s="138">
        <v>0.25700000000000001</v>
      </c>
      <c r="H291" s="109" t="s">
        <v>164</v>
      </c>
    </row>
    <row r="292" spans="1:8" ht="19.899999999999999">
      <c r="A292" s="104" t="s">
        <v>50</v>
      </c>
      <c r="B292" s="105" t="s">
        <v>504</v>
      </c>
      <c r="C292" s="37" t="s">
        <v>512</v>
      </c>
      <c r="D292" s="106">
        <v>2019</v>
      </c>
      <c r="E292" s="107" t="s">
        <v>113</v>
      </c>
      <c r="F292" s="112">
        <v>0.26200000000000001</v>
      </c>
      <c r="G292" s="138">
        <v>0.28399999999999997</v>
      </c>
      <c r="H292" s="109" t="s">
        <v>164</v>
      </c>
    </row>
    <row r="293" spans="1:8" ht="19.899999999999999">
      <c r="A293" s="104" t="s">
        <v>50</v>
      </c>
      <c r="B293" s="105" t="s">
        <v>504</v>
      </c>
      <c r="C293" s="37" t="s">
        <v>513</v>
      </c>
      <c r="D293" s="106">
        <v>2018</v>
      </c>
      <c r="E293" s="107" t="s">
        <v>113</v>
      </c>
      <c r="F293" s="112">
        <v>0.27300000000000002</v>
      </c>
      <c r="G293" s="138">
        <v>0.28399999999999997</v>
      </c>
      <c r="H293" s="109" t="s">
        <v>164</v>
      </c>
    </row>
    <row r="294" spans="1:8" ht="19.899999999999999">
      <c r="A294" s="104" t="s">
        <v>50</v>
      </c>
      <c r="B294" s="105" t="s">
        <v>504</v>
      </c>
      <c r="C294" s="37" t="s">
        <v>514</v>
      </c>
      <c r="D294" s="106" t="s">
        <v>468</v>
      </c>
      <c r="E294" s="107" t="s">
        <v>113</v>
      </c>
      <c r="F294" s="112">
        <v>0.313</v>
      </c>
      <c r="G294" s="138">
        <v>0.255</v>
      </c>
      <c r="H294" s="109" t="s">
        <v>164</v>
      </c>
    </row>
    <row r="295" spans="1:8" ht="19.899999999999999">
      <c r="A295" s="104" t="s">
        <v>50</v>
      </c>
      <c r="B295" s="105" t="s">
        <v>504</v>
      </c>
      <c r="C295" s="37" t="s">
        <v>515</v>
      </c>
      <c r="D295" s="106">
        <v>2025</v>
      </c>
      <c r="E295" s="107" t="s">
        <v>113</v>
      </c>
      <c r="F295" s="112">
        <v>0.27500000000000002</v>
      </c>
      <c r="G295" s="138">
        <v>0.249</v>
      </c>
      <c r="H295" s="109" t="s">
        <v>164</v>
      </c>
    </row>
    <row r="296" spans="1:8" ht="19.899999999999999">
      <c r="A296" s="104" t="s">
        <v>50</v>
      </c>
      <c r="B296" s="105" t="s">
        <v>504</v>
      </c>
      <c r="C296" s="37" t="s">
        <v>516</v>
      </c>
      <c r="D296" s="106">
        <v>2024</v>
      </c>
      <c r="E296" s="107" t="s">
        <v>113</v>
      </c>
      <c r="F296" s="112">
        <v>0.28699999999999998</v>
      </c>
      <c r="G296" s="138">
        <v>0.25600000000000001</v>
      </c>
      <c r="H296" s="109" t="s">
        <v>164</v>
      </c>
    </row>
    <row r="297" spans="1:8" ht="19.899999999999999">
      <c r="A297" s="104" t="s">
        <v>50</v>
      </c>
      <c r="B297" s="105" t="s">
        <v>504</v>
      </c>
      <c r="C297" s="37" t="s">
        <v>517</v>
      </c>
      <c r="D297" s="106">
        <v>2023</v>
      </c>
      <c r="E297" s="107" t="s">
        <v>113</v>
      </c>
      <c r="F297" s="112">
        <v>0.29499999999999998</v>
      </c>
      <c r="G297" s="138">
        <v>0.26100000000000001</v>
      </c>
      <c r="H297" s="109" t="s">
        <v>164</v>
      </c>
    </row>
    <row r="298" spans="1:8" ht="19.899999999999999">
      <c r="A298" s="104" t="s">
        <v>50</v>
      </c>
      <c r="B298" s="105" t="s">
        <v>504</v>
      </c>
      <c r="C298" s="37" t="s">
        <v>518</v>
      </c>
      <c r="D298" s="106">
        <v>2022</v>
      </c>
      <c r="E298" s="107" t="s">
        <v>113</v>
      </c>
      <c r="F298" s="112">
        <v>0.28599999999999998</v>
      </c>
      <c r="G298" s="138">
        <v>0.26400000000000001</v>
      </c>
      <c r="H298" s="109" t="s">
        <v>164</v>
      </c>
    </row>
    <row r="299" spans="1:8" ht="19.899999999999999">
      <c r="A299" s="104" t="s">
        <v>50</v>
      </c>
      <c r="B299" s="105" t="s">
        <v>504</v>
      </c>
      <c r="C299" s="37" t="s">
        <v>519</v>
      </c>
      <c r="D299" s="106">
        <v>2021</v>
      </c>
      <c r="E299" s="107" t="s">
        <v>113</v>
      </c>
      <c r="F299" s="112">
        <v>0.25900000000000001</v>
      </c>
      <c r="G299" s="138">
        <v>0.26600000000000001</v>
      </c>
      <c r="H299" s="109" t="s">
        <v>164</v>
      </c>
    </row>
    <row r="300" spans="1:8" ht="19.899999999999999">
      <c r="A300" s="104" t="s">
        <v>50</v>
      </c>
      <c r="B300" s="105" t="s">
        <v>504</v>
      </c>
      <c r="C300" s="37" t="s">
        <v>520</v>
      </c>
      <c r="D300" s="106">
        <v>2020</v>
      </c>
      <c r="E300" s="107" t="s">
        <v>113</v>
      </c>
      <c r="F300" s="112">
        <v>0.253</v>
      </c>
      <c r="G300" s="138">
        <v>0.251</v>
      </c>
      <c r="H300" s="109" t="s">
        <v>164</v>
      </c>
    </row>
    <row r="301" spans="1:8" ht="19.899999999999999">
      <c r="A301" s="104" t="s">
        <v>50</v>
      </c>
      <c r="B301" s="105" t="s">
        <v>504</v>
      </c>
      <c r="C301" s="37" t="s">
        <v>521</v>
      </c>
      <c r="D301" s="106">
        <v>2019</v>
      </c>
      <c r="E301" s="107" t="s">
        <v>113</v>
      </c>
      <c r="F301" s="112">
        <v>0.26200000000000001</v>
      </c>
      <c r="G301" s="138">
        <v>0.27400000000000002</v>
      </c>
      <c r="H301" s="109" t="s">
        <v>164</v>
      </c>
    </row>
    <row r="302" spans="1:8" ht="19.899999999999999">
      <c r="A302" s="104" t="s">
        <v>50</v>
      </c>
      <c r="B302" s="105" t="s">
        <v>504</v>
      </c>
      <c r="C302" s="37" t="s">
        <v>522</v>
      </c>
      <c r="D302" s="106">
        <v>2018</v>
      </c>
      <c r="E302" s="107" t="s">
        <v>113</v>
      </c>
      <c r="F302" s="112">
        <v>0.27400000000000002</v>
      </c>
      <c r="G302" s="138">
        <v>0.27100000000000002</v>
      </c>
      <c r="H302" s="109" t="s">
        <v>164</v>
      </c>
    </row>
    <row r="303" spans="1:8" ht="19.899999999999999">
      <c r="A303" s="104" t="s">
        <v>50</v>
      </c>
      <c r="B303" s="105" t="s">
        <v>504</v>
      </c>
      <c r="C303" s="37" t="s">
        <v>523</v>
      </c>
      <c r="D303" s="106" t="s">
        <v>468</v>
      </c>
      <c r="E303" s="107" t="s">
        <v>113</v>
      </c>
      <c r="F303" s="112">
        <v>0.28899999999999998</v>
      </c>
      <c r="G303" s="138">
        <v>0.28899999999999998</v>
      </c>
      <c r="H303" s="109" t="s">
        <v>164</v>
      </c>
    </row>
    <row r="304" spans="1:8" ht="19.899999999999999">
      <c r="A304" s="104" t="s">
        <v>50</v>
      </c>
      <c r="B304" s="105" t="s">
        <v>504</v>
      </c>
      <c r="C304" s="37" t="s">
        <v>524</v>
      </c>
      <c r="D304" s="106">
        <v>2025</v>
      </c>
      <c r="E304" s="107" t="s">
        <v>113</v>
      </c>
      <c r="F304" s="112">
        <v>0.30299999999999999</v>
      </c>
      <c r="G304" s="138">
        <v>0.27800000000000002</v>
      </c>
      <c r="H304" s="109" t="s">
        <v>164</v>
      </c>
    </row>
    <row r="305" spans="1:8" ht="19.899999999999999">
      <c r="A305" s="104" t="s">
        <v>50</v>
      </c>
      <c r="B305" s="105" t="s">
        <v>504</v>
      </c>
      <c r="C305" s="37" t="s">
        <v>525</v>
      </c>
      <c r="D305" s="106">
        <v>2024</v>
      </c>
      <c r="E305" s="107" t="s">
        <v>113</v>
      </c>
      <c r="F305" s="112">
        <v>0.29099999999999998</v>
      </c>
      <c r="G305" s="138">
        <v>0.28699999999999998</v>
      </c>
      <c r="H305" s="109" t="s">
        <v>164</v>
      </c>
    </row>
    <row r="306" spans="1:8" ht="19.899999999999999">
      <c r="A306" s="104" t="s">
        <v>50</v>
      </c>
      <c r="B306" s="105" t="s">
        <v>504</v>
      </c>
      <c r="C306" s="37" t="s">
        <v>526</v>
      </c>
      <c r="D306" s="106">
        <v>2023</v>
      </c>
      <c r="E306" s="107" t="s">
        <v>113</v>
      </c>
      <c r="F306" s="112">
        <v>0.28100000000000003</v>
      </c>
      <c r="G306" s="138">
        <v>0.28699999999999998</v>
      </c>
      <c r="H306" s="109" t="s">
        <v>164</v>
      </c>
    </row>
    <row r="307" spans="1:8" ht="19.899999999999999">
      <c r="A307" s="104" t="s">
        <v>50</v>
      </c>
      <c r="B307" s="105" t="s">
        <v>504</v>
      </c>
      <c r="C307" s="37" t="s">
        <v>527</v>
      </c>
      <c r="D307" s="106">
        <v>2022</v>
      </c>
      <c r="E307" s="107" t="s">
        <v>113</v>
      </c>
      <c r="F307" s="112">
        <v>0.28100000000000003</v>
      </c>
      <c r="G307" s="138">
        <v>0.28299999999999997</v>
      </c>
      <c r="H307" s="109" t="s">
        <v>164</v>
      </c>
    </row>
    <row r="308" spans="1:8" ht="19.899999999999999">
      <c r="A308" s="104" t="s">
        <v>50</v>
      </c>
      <c r="B308" s="105" t="s">
        <v>504</v>
      </c>
      <c r="C308" s="37" t="s">
        <v>528</v>
      </c>
      <c r="D308" s="106">
        <v>2021</v>
      </c>
      <c r="E308" s="107" t="s">
        <v>113</v>
      </c>
      <c r="F308" s="112">
        <v>0.27700000000000002</v>
      </c>
      <c r="G308" s="138">
        <v>0.28100000000000003</v>
      </c>
      <c r="H308" s="109" t="s">
        <v>164</v>
      </c>
    </row>
    <row r="309" spans="1:8" ht="19.899999999999999">
      <c r="A309" s="104" t="s">
        <v>50</v>
      </c>
      <c r="B309" s="105" t="s">
        <v>504</v>
      </c>
      <c r="C309" s="37" t="s">
        <v>529</v>
      </c>
      <c r="D309" s="106">
        <v>2020</v>
      </c>
      <c r="E309" s="107" t="s">
        <v>113</v>
      </c>
      <c r="F309" s="112">
        <v>0.25</v>
      </c>
      <c r="G309" s="138">
        <v>0.26500000000000001</v>
      </c>
      <c r="H309" s="109" t="s">
        <v>164</v>
      </c>
    </row>
    <row r="310" spans="1:8" ht="19.899999999999999">
      <c r="A310" s="104" t="s">
        <v>50</v>
      </c>
      <c r="B310" s="105" t="s">
        <v>504</v>
      </c>
      <c r="C310" s="37" t="s">
        <v>530</v>
      </c>
      <c r="D310" s="106">
        <v>2019</v>
      </c>
      <c r="E310" s="107" t="s">
        <v>113</v>
      </c>
      <c r="F310" s="112">
        <v>0.26100000000000001</v>
      </c>
      <c r="G310" s="138">
        <v>0.29699999999999999</v>
      </c>
      <c r="H310" s="109" t="s">
        <v>164</v>
      </c>
    </row>
    <row r="311" spans="1:8" ht="19.899999999999999">
      <c r="A311" s="104" t="s">
        <v>50</v>
      </c>
      <c r="B311" s="105" t="s">
        <v>504</v>
      </c>
      <c r="C311" s="37" t="s">
        <v>531</v>
      </c>
      <c r="D311" s="106">
        <v>2018</v>
      </c>
      <c r="E311" s="107" t="s">
        <v>113</v>
      </c>
      <c r="F311" s="112">
        <v>0.27200000000000002</v>
      </c>
      <c r="G311" s="138">
        <v>0.30199999999999999</v>
      </c>
      <c r="H311" s="109" t="s">
        <v>164</v>
      </c>
    </row>
    <row r="312" spans="1:8" ht="39.6">
      <c r="A312" s="104" t="s">
        <v>50</v>
      </c>
      <c r="B312" s="105" t="s">
        <v>532</v>
      </c>
      <c r="C312" s="37" t="s">
        <v>533</v>
      </c>
      <c r="D312" s="106">
        <v>2025</v>
      </c>
      <c r="E312" s="107" t="s">
        <v>113</v>
      </c>
      <c r="F312" s="112">
        <v>0.158</v>
      </c>
      <c r="G312" s="138">
        <v>5.8000000000000003E-2</v>
      </c>
      <c r="H312" s="109" t="s">
        <v>534</v>
      </c>
    </row>
    <row r="313" spans="1:8" ht="39.6">
      <c r="A313" s="104" t="s">
        <v>50</v>
      </c>
      <c r="B313" s="105" t="s">
        <v>532</v>
      </c>
      <c r="C313" s="37" t="s">
        <v>535</v>
      </c>
      <c r="D313" s="106">
        <v>2025</v>
      </c>
      <c r="E313" s="107" t="s">
        <v>113</v>
      </c>
      <c r="F313" s="112">
        <v>4.9000000000000002E-2</v>
      </c>
      <c r="G313" s="138">
        <v>3.2000000000000001E-2</v>
      </c>
      <c r="H313" s="109" t="s">
        <v>534</v>
      </c>
    </row>
    <row r="314" spans="1:8" ht="39.6">
      <c r="A314" s="104" t="s">
        <v>50</v>
      </c>
      <c r="B314" s="105" t="s">
        <v>532</v>
      </c>
      <c r="C314" s="37" t="s">
        <v>536</v>
      </c>
      <c r="D314" s="106">
        <v>2025</v>
      </c>
      <c r="E314" s="107" t="s">
        <v>113</v>
      </c>
      <c r="F314" s="112">
        <v>0.105</v>
      </c>
      <c r="G314" s="138">
        <v>9.6000000000000002E-2</v>
      </c>
      <c r="H314" s="109" t="s">
        <v>534</v>
      </c>
    </row>
    <row r="315" spans="1:8" ht="39.6">
      <c r="A315" s="104" t="s">
        <v>50</v>
      </c>
      <c r="B315" s="105" t="s">
        <v>532</v>
      </c>
      <c r="C315" s="37" t="s">
        <v>537</v>
      </c>
      <c r="D315" s="106">
        <v>2025</v>
      </c>
      <c r="E315" s="107" t="s">
        <v>113</v>
      </c>
      <c r="F315" s="112">
        <v>3.0000000000000001E-3</v>
      </c>
      <c r="G315" s="138">
        <v>5.0000000000000001E-3</v>
      </c>
      <c r="H315" s="109" t="s">
        <v>534</v>
      </c>
    </row>
    <row r="316" spans="1:8" ht="19.899999999999999">
      <c r="A316" s="104" t="s">
        <v>50</v>
      </c>
      <c r="B316" s="105" t="s">
        <v>532</v>
      </c>
      <c r="C316" s="37" t="s">
        <v>538</v>
      </c>
      <c r="D316" s="106">
        <v>2025</v>
      </c>
      <c r="E316" s="107" t="s">
        <v>113</v>
      </c>
      <c r="F316" s="112">
        <v>8.0000000000000002E-3</v>
      </c>
      <c r="G316" s="138">
        <v>8.0000000000000002E-3</v>
      </c>
      <c r="H316" s="109" t="s">
        <v>534</v>
      </c>
    </row>
    <row r="317" spans="1:8" ht="19.899999999999999">
      <c r="A317" s="104" t="s">
        <v>50</v>
      </c>
      <c r="B317" s="105" t="s">
        <v>532</v>
      </c>
      <c r="C317" s="37" t="s">
        <v>539</v>
      </c>
      <c r="D317" s="106">
        <v>2025</v>
      </c>
      <c r="E317" s="107" t="s">
        <v>113</v>
      </c>
      <c r="F317" s="112">
        <v>6.8000000000000005E-2</v>
      </c>
      <c r="G317" s="138">
        <v>7.6999999999999999E-2</v>
      </c>
      <c r="H317" s="109" t="s">
        <v>534</v>
      </c>
    </row>
    <row r="318" spans="1:8" ht="39.6">
      <c r="A318" s="104" t="s">
        <v>50</v>
      </c>
      <c r="B318" s="105" t="s">
        <v>532</v>
      </c>
      <c r="C318" s="37" t="s">
        <v>540</v>
      </c>
      <c r="D318" s="106">
        <v>2025</v>
      </c>
      <c r="E318" s="107" t="s">
        <v>113</v>
      </c>
      <c r="F318" s="112">
        <v>0.20100000000000001</v>
      </c>
      <c r="G318" s="138">
        <v>0.186</v>
      </c>
      <c r="H318" s="109" t="s">
        <v>534</v>
      </c>
    </row>
    <row r="319" spans="1:8" ht="39.6">
      <c r="A319" s="104" t="s">
        <v>50</v>
      </c>
      <c r="B319" s="105" t="s">
        <v>532</v>
      </c>
      <c r="C319" s="37" t="s">
        <v>541</v>
      </c>
      <c r="D319" s="106">
        <v>2025</v>
      </c>
      <c r="E319" s="107" t="s">
        <v>113</v>
      </c>
      <c r="F319" s="112">
        <v>4.2999999999999997E-2</v>
      </c>
      <c r="G319" s="138">
        <v>6.4000000000000001E-2</v>
      </c>
      <c r="H319" s="109" t="s">
        <v>534</v>
      </c>
    </row>
    <row r="320" spans="1:8" ht="39.6">
      <c r="A320" s="104" t="s">
        <v>50</v>
      </c>
      <c r="B320" s="105" t="s">
        <v>532</v>
      </c>
      <c r="C320" s="37" t="s">
        <v>542</v>
      </c>
      <c r="D320" s="106">
        <v>2025</v>
      </c>
      <c r="E320" s="107" t="s">
        <v>113</v>
      </c>
      <c r="F320" s="112">
        <v>3.5999999999999997E-2</v>
      </c>
      <c r="G320" s="138">
        <v>4.8000000000000001E-2</v>
      </c>
      <c r="H320" s="109" t="s">
        <v>534</v>
      </c>
    </row>
    <row r="321" spans="1:8" ht="39.6">
      <c r="A321" s="104" t="s">
        <v>50</v>
      </c>
      <c r="B321" s="105" t="s">
        <v>532</v>
      </c>
      <c r="C321" s="37" t="s">
        <v>543</v>
      </c>
      <c r="D321" s="106">
        <v>2025</v>
      </c>
      <c r="E321" s="107" t="s">
        <v>113</v>
      </c>
      <c r="F321" s="112">
        <v>7.0000000000000001E-3</v>
      </c>
      <c r="G321" s="138">
        <v>2.4E-2</v>
      </c>
      <c r="H321" s="109" t="s">
        <v>534</v>
      </c>
    </row>
    <row r="322" spans="1:8" ht="39.6">
      <c r="A322" s="104" t="s">
        <v>50</v>
      </c>
      <c r="B322" s="105" t="s">
        <v>532</v>
      </c>
      <c r="C322" s="37" t="s">
        <v>544</v>
      </c>
      <c r="D322" s="106">
        <v>2025</v>
      </c>
      <c r="E322" s="107" t="s">
        <v>113</v>
      </c>
      <c r="F322" s="112">
        <v>8.0000000000000002E-3</v>
      </c>
      <c r="G322" s="138">
        <v>2.1999999999999999E-2</v>
      </c>
      <c r="H322" s="109" t="s">
        <v>534</v>
      </c>
    </row>
    <row r="323" spans="1:8" ht="39.6">
      <c r="A323" s="104" t="s">
        <v>50</v>
      </c>
      <c r="B323" s="105" t="s">
        <v>532</v>
      </c>
      <c r="C323" s="37" t="s">
        <v>545</v>
      </c>
      <c r="D323" s="106">
        <v>2025</v>
      </c>
      <c r="E323" s="107" t="s">
        <v>113</v>
      </c>
      <c r="F323" s="112">
        <v>5.0000000000000001E-3</v>
      </c>
      <c r="G323" s="138">
        <v>0.01</v>
      </c>
      <c r="H323" s="109" t="s">
        <v>534</v>
      </c>
    </row>
    <row r="324" spans="1:8" ht="39.6">
      <c r="A324" s="104" t="s">
        <v>50</v>
      </c>
      <c r="B324" s="105" t="s">
        <v>532</v>
      </c>
      <c r="C324" s="37" t="s">
        <v>546</v>
      </c>
      <c r="D324" s="106">
        <v>2025</v>
      </c>
      <c r="E324" s="107" t="s">
        <v>113</v>
      </c>
      <c r="F324" s="112">
        <v>3.3000000000000002E-2</v>
      </c>
      <c r="G324" s="138">
        <v>3.7999999999999999E-2</v>
      </c>
      <c r="H324" s="109" t="s">
        <v>534</v>
      </c>
    </row>
    <row r="325" spans="1:8" ht="39.6">
      <c r="A325" s="104" t="s">
        <v>50</v>
      </c>
      <c r="B325" s="105" t="s">
        <v>532</v>
      </c>
      <c r="C325" s="37" t="s">
        <v>547</v>
      </c>
      <c r="D325" s="106">
        <v>2025</v>
      </c>
      <c r="E325" s="107" t="s">
        <v>113</v>
      </c>
      <c r="F325" s="112">
        <v>2.1999999999999999E-2</v>
      </c>
      <c r="G325" s="138">
        <v>3.4000000000000002E-2</v>
      </c>
      <c r="H325" s="109" t="s">
        <v>534</v>
      </c>
    </row>
    <row r="326" spans="1:8" ht="39.6">
      <c r="A326" s="104" t="s">
        <v>50</v>
      </c>
      <c r="B326" s="105" t="s">
        <v>532</v>
      </c>
      <c r="C326" s="37" t="s">
        <v>548</v>
      </c>
      <c r="D326" s="106">
        <v>2025</v>
      </c>
      <c r="E326" s="107" t="s">
        <v>113</v>
      </c>
      <c r="F326" s="112">
        <v>4.4999999999999998E-2</v>
      </c>
      <c r="G326" s="138">
        <v>5.7000000000000002E-2</v>
      </c>
      <c r="H326" s="109" t="s">
        <v>534</v>
      </c>
    </row>
    <row r="327" spans="1:8" ht="19.899999999999999">
      <c r="A327" s="104" t="s">
        <v>50</v>
      </c>
      <c r="B327" s="105" t="s">
        <v>532</v>
      </c>
      <c r="C327" s="37" t="s">
        <v>549</v>
      </c>
      <c r="D327" s="106">
        <v>2025</v>
      </c>
      <c r="E327" s="107" t="s">
        <v>113</v>
      </c>
      <c r="F327" s="112">
        <v>7.5999999999999998E-2</v>
      </c>
      <c r="G327" s="138">
        <v>8.5000000000000006E-2</v>
      </c>
      <c r="H327" s="109" t="s">
        <v>534</v>
      </c>
    </row>
    <row r="328" spans="1:8" ht="39.6">
      <c r="A328" s="104" t="s">
        <v>50</v>
      </c>
      <c r="B328" s="105" t="s">
        <v>532</v>
      </c>
      <c r="C328" s="37" t="s">
        <v>550</v>
      </c>
      <c r="D328" s="106">
        <v>2025</v>
      </c>
      <c r="E328" s="107" t="s">
        <v>113</v>
      </c>
      <c r="F328" s="112">
        <v>6.5000000000000002E-2</v>
      </c>
      <c r="G328" s="138">
        <v>7.6999999999999999E-2</v>
      </c>
      <c r="H328" s="109" t="s">
        <v>534</v>
      </c>
    </row>
    <row r="329" spans="1:8" ht="39.6">
      <c r="A329" s="104" t="s">
        <v>50</v>
      </c>
      <c r="B329" s="105" t="s">
        <v>532</v>
      </c>
      <c r="C329" s="37" t="s">
        <v>551</v>
      </c>
      <c r="D329" s="106">
        <v>2025</v>
      </c>
      <c r="E329" s="107" t="s">
        <v>113</v>
      </c>
      <c r="F329" s="112">
        <v>1.0999999999999999E-2</v>
      </c>
      <c r="G329" s="138">
        <v>1.2E-2</v>
      </c>
      <c r="H329" s="109" t="s">
        <v>534</v>
      </c>
    </row>
    <row r="330" spans="1:8" ht="39.6">
      <c r="A330" s="104" t="s">
        <v>50</v>
      </c>
      <c r="B330" s="105" t="s">
        <v>532</v>
      </c>
      <c r="C330" s="37" t="s">
        <v>552</v>
      </c>
      <c r="D330" s="106">
        <v>2025</v>
      </c>
      <c r="E330" s="107" t="s">
        <v>113</v>
      </c>
      <c r="F330" s="112">
        <v>2.7E-2</v>
      </c>
      <c r="G330" s="138">
        <v>3.5000000000000003E-2</v>
      </c>
      <c r="H330" s="109" t="s">
        <v>534</v>
      </c>
    </row>
    <row r="331" spans="1:8" ht="39.6">
      <c r="A331" s="104" t="s">
        <v>50</v>
      </c>
      <c r="B331" s="105" t="s">
        <v>532</v>
      </c>
      <c r="C331" s="37" t="s">
        <v>553</v>
      </c>
      <c r="D331" s="106">
        <v>2025</v>
      </c>
      <c r="E331" s="107" t="s">
        <v>113</v>
      </c>
      <c r="F331" s="112">
        <v>3.1E-2</v>
      </c>
      <c r="G331" s="138">
        <v>2.8000000000000001E-2</v>
      </c>
      <c r="H331" s="109" t="s">
        <v>534</v>
      </c>
    </row>
    <row r="332" spans="1:8" ht="39.6">
      <c r="A332" s="104" t="s">
        <v>50</v>
      </c>
      <c r="B332" s="105" t="s">
        <v>532</v>
      </c>
      <c r="C332" s="37" t="s">
        <v>554</v>
      </c>
      <c r="D332" s="106">
        <v>2025</v>
      </c>
      <c r="E332" s="107" t="s">
        <v>113</v>
      </c>
      <c r="F332" s="112">
        <v>0</v>
      </c>
      <c r="G332" s="138">
        <v>0</v>
      </c>
      <c r="H332" s="109" t="s">
        <v>534</v>
      </c>
    </row>
    <row r="333" spans="1:8" ht="39.6">
      <c r="A333" s="104" t="s">
        <v>50</v>
      </c>
      <c r="B333" s="105" t="s">
        <v>532</v>
      </c>
      <c r="C333" s="37" t="s">
        <v>555</v>
      </c>
      <c r="D333" s="106">
        <v>2025</v>
      </c>
      <c r="E333" s="107" t="s">
        <v>113</v>
      </c>
      <c r="F333" s="112">
        <v>1E-3</v>
      </c>
      <c r="G333" s="138">
        <v>3.0000000000000001E-3</v>
      </c>
      <c r="H333" s="109" t="s">
        <v>534</v>
      </c>
    </row>
    <row r="334" spans="1:8" ht="19.899999999999999">
      <c r="A334" s="104" t="s">
        <v>52</v>
      </c>
      <c r="B334" s="105" t="s">
        <v>556</v>
      </c>
      <c r="C334" s="37" t="s">
        <v>557</v>
      </c>
      <c r="D334" s="106" t="s">
        <v>558</v>
      </c>
      <c r="E334" s="107" t="s">
        <v>559</v>
      </c>
      <c r="F334" s="110">
        <v>486</v>
      </c>
      <c r="G334" s="136">
        <v>6272</v>
      </c>
      <c r="H334" s="109" t="s">
        <v>560</v>
      </c>
    </row>
    <row r="335" spans="1:8" ht="19.899999999999999">
      <c r="A335" s="104" t="s">
        <v>52</v>
      </c>
      <c r="B335" s="105" t="s">
        <v>556</v>
      </c>
      <c r="C335" s="37" t="s">
        <v>561</v>
      </c>
      <c r="D335" s="106" t="s">
        <v>562</v>
      </c>
      <c r="E335" s="107" t="s">
        <v>559</v>
      </c>
      <c r="F335" s="110">
        <v>332</v>
      </c>
      <c r="G335" s="136">
        <v>5958</v>
      </c>
      <c r="H335" s="109" t="s">
        <v>560</v>
      </c>
    </row>
    <row r="336" spans="1:8" ht="19.899999999999999">
      <c r="A336" s="104" t="s">
        <v>52</v>
      </c>
      <c r="B336" s="105" t="s">
        <v>556</v>
      </c>
      <c r="C336" s="37" t="s">
        <v>563</v>
      </c>
      <c r="D336" s="106" t="s">
        <v>564</v>
      </c>
      <c r="E336" s="107" t="s">
        <v>559</v>
      </c>
      <c r="F336" s="110">
        <v>421</v>
      </c>
      <c r="G336" s="136">
        <v>6982</v>
      </c>
      <c r="H336" s="109" t="s">
        <v>560</v>
      </c>
    </row>
    <row r="337" spans="1:8" ht="19.899999999999999">
      <c r="A337" s="104" t="s">
        <v>52</v>
      </c>
      <c r="B337" s="105" t="s">
        <v>556</v>
      </c>
      <c r="C337" s="37" t="s">
        <v>565</v>
      </c>
      <c r="D337" s="106" t="s">
        <v>566</v>
      </c>
      <c r="E337" s="107" t="s">
        <v>559</v>
      </c>
      <c r="F337" s="110">
        <v>307</v>
      </c>
      <c r="G337" s="136">
        <v>6947</v>
      </c>
      <c r="H337" s="109" t="s">
        <v>560</v>
      </c>
    </row>
    <row r="338" spans="1:8" ht="19.899999999999999">
      <c r="A338" s="104" t="s">
        <v>52</v>
      </c>
      <c r="B338" s="105" t="s">
        <v>556</v>
      </c>
      <c r="C338" s="37" t="s">
        <v>567</v>
      </c>
      <c r="D338" s="106" t="s">
        <v>568</v>
      </c>
      <c r="E338" s="107" t="s">
        <v>559</v>
      </c>
      <c r="F338" s="110">
        <v>223</v>
      </c>
      <c r="G338" s="136">
        <v>7101</v>
      </c>
      <c r="H338" s="109" t="s">
        <v>560</v>
      </c>
    </row>
    <row r="339" spans="1:8" ht="39.6">
      <c r="A339" s="104" t="s">
        <v>52</v>
      </c>
      <c r="B339" s="105" t="s">
        <v>556</v>
      </c>
      <c r="C339" s="37" t="s">
        <v>569</v>
      </c>
      <c r="D339" s="106" t="s">
        <v>558</v>
      </c>
      <c r="E339" s="107" t="s">
        <v>570</v>
      </c>
      <c r="F339" s="115">
        <v>4757.1499999999996</v>
      </c>
      <c r="G339" s="136">
        <v>65156.62</v>
      </c>
      <c r="H339" s="109" t="s">
        <v>571</v>
      </c>
    </row>
    <row r="340" spans="1:8" ht="39.6">
      <c r="A340" s="104" t="s">
        <v>52</v>
      </c>
      <c r="B340" s="105" t="s">
        <v>556</v>
      </c>
      <c r="C340" s="37" t="s">
        <v>572</v>
      </c>
      <c r="D340" s="106" t="s">
        <v>562</v>
      </c>
      <c r="E340" s="107" t="s">
        <v>570</v>
      </c>
      <c r="F340" s="115">
        <v>13022.23</v>
      </c>
      <c r="G340" s="136">
        <v>61274.83</v>
      </c>
      <c r="H340" s="109" t="s">
        <v>571</v>
      </c>
    </row>
    <row r="341" spans="1:8" ht="39.6">
      <c r="A341" s="104" t="s">
        <v>52</v>
      </c>
      <c r="B341" s="105" t="s">
        <v>556</v>
      </c>
      <c r="C341" s="37" t="s">
        <v>573</v>
      </c>
      <c r="D341" s="106" t="s">
        <v>564</v>
      </c>
      <c r="E341" s="107" t="s">
        <v>570</v>
      </c>
      <c r="F341" s="115">
        <v>7399.4</v>
      </c>
      <c r="G341" s="136">
        <v>381915.9</v>
      </c>
      <c r="H341" s="109" t="s">
        <v>571</v>
      </c>
    </row>
    <row r="342" spans="1:8" ht="39.6">
      <c r="A342" s="104" t="s">
        <v>52</v>
      </c>
      <c r="B342" s="105" t="s">
        <v>556</v>
      </c>
      <c r="C342" s="37" t="s">
        <v>574</v>
      </c>
      <c r="D342" s="106" t="s">
        <v>566</v>
      </c>
      <c r="E342" s="107" t="s">
        <v>570</v>
      </c>
      <c r="F342" s="115">
        <v>5452.92</v>
      </c>
      <c r="G342" s="136">
        <v>104945.89</v>
      </c>
      <c r="H342" s="109" t="s">
        <v>571</v>
      </c>
    </row>
    <row r="343" spans="1:8" ht="39.6">
      <c r="A343" s="104" t="s">
        <v>52</v>
      </c>
      <c r="B343" s="105" t="s">
        <v>556</v>
      </c>
      <c r="C343" s="37" t="s">
        <v>575</v>
      </c>
      <c r="D343" s="106" t="s">
        <v>568</v>
      </c>
      <c r="E343" s="107" t="s">
        <v>570</v>
      </c>
      <c r="F343" s="115">
        <v>1482.45</v>
      </c>
      <c r="G343" s="136">
        <v>31145.599999999999</v>
      </c>
      <c r="H343" s="109" t="s">
        <v>571</v>
      </c>
    </row>
    <row r="344" spans="1:8" ht="19.899999999999999">
      <c r="A344" s="104" t="s">
        <v>52</v>
      </c>
      <c r="B344" s="105" t="s">
        <v>576</v>
      </c>
      <c r="C344" s="37" t="s">
        <v>577</v>
      </c>
      <c r="D344" s="106">
        <v>2024</v>
      </c>
      <c r="E344" s="107" t="s">
        <v>578</v>
      </c>
      <c r="F344" s="110">
        <v>88518</v>
      </c>
      <c r="G344" s="135"/>
      <c r="H344" s="109" t="s">
        <v>579</v>
      </c>
    </row>
    <row r="345" spans="1:8" ht="19.899999999999999">
      <c r="A345" s="104" t="s">
        <v>52</v>
      </c>
      <c r="B345" s="105" t="s">
        <v>576</v>
      </c>
      <c r="C345" s="37" t="s">
        <v>580</v>
      </c>
      <c r="D345" s="106">
        <v>2023</v>
      </c>
      <c r="E345" s="107" t="s">
        <v>578</v>
      </c>
      <c r="F345" s="110">
        <v>84762</v>
      </c>
      <c r="G345" s="135"/>
      <c r="H345" s="109" t="s">
        <v>579</v>
      </c>
    </row>
    <row r="346" spans="1:8" ht="19.899999999999999">
      <c r="A346" s="104" t="s">
        <v>52</v>
      </c>
      <c r="B346" s="105" t="s">
        <v>576</v>
      </c>
      <c r="C346" s="37" t="s">
        <v>581</v>
      </c>
      <c r="D346" s="106">
        <v>2022</v>
      </c>
      <c r="E346" s="107" t="s">
        <v>578</v>
      </c>
      <c r="F346" s="110">
        <v>87614</v>
      </c>
      <c r="G346" s="135"/>
      <c r="H346" s="109" t="s">
        <v>579</v>
      </c>
    </row>
    <row r="347" spans="1:8" ht="19.899999999999999">
      <c r="A347" s="104" t="s">
        <v>52</v>
      </c>
      <c r="B347" s="105" t="s">
        <v>576</v>
      </c>
      <c r="C347" s="37" t="s">
        <v>582</v>
      </c>
      <c r="D347" s="106">
        <v>2021</v>
      </c>
      <c r="E347" s="107" t="s">
        <v>578</v>
      </c>
      <c r="F347" s="110">
        <v>80895</v>
      </c>
      <c r="G347" s="135"/>
      <c r="H347" s="109" t="s">
        <v>579</v>
      </c>
    </row>
    <row r="348" spans="1:8" ht="19.899999999999999">
      <c r="A348" s="104" t="s">
        <v>52</v>
      </c>
      <c r="B348" s="105" t="s">
        <v>576</v>
      </c>
      <c r="C348" s="37" t="s">
        <v>583</v>
      </c>
      <c r="D348" s="106">
        <v>2020</v>
      </c>
      <c r="E348" s="107" t="s">
        <v>578</v>
      </c>
      <c r="F348" s="110">
        <v>77682</v>
      </c>
      <c r="G348" s="135"/>
      <c r="H348" s="109" t="s">
        <v>579</v>
      </c>
    </row>
    <row r="349" spans="1:8" ht="19.899999999999999">
      <c r="A349" s="104" t="s">
        <v>52</v>
      </c>
      <c r="B349" s="105" t="s">
        <v>576</v>
      </c>
      <c r="C349" s="37" t="s">
        <v>584</v>
      </c>
      <c r="D349" s="106">
        <v>2024</v>
      </c>
      <c r="E349" s="107" t="s">
        <v>578</v>
      </c>
      <c r="F349" s="110">
        <v>53474</v>
      </c>
      <c r="G349" s="135"/>
      <c r="H349" s="109" t="s">
        <v>585</v>
      </c>
    </row>
    <row r="350" spans="1:8" ht="19.899999999999999">
      <c r="A350" s="104" t="s">
        <v>52</v>
      </c>
      <c r="B350" s="105" t="s">
        <v>576</v>
      </c>
      <c r="C350" s="37" t="s">
        <v>586</v>
      </c>
      <c r="D350" s="106">
        <v>2023</v>
      </c>
      <c r="E350" s="107" t="s">
        <v>578</v>
      </c>
      <c r="F350" s="110">
        <v>53612</v>
      </c>
      <c r="G350" s="135"/>
      <c r="H350" s="109" t="s">
        <v>585</v>
      </c>
    </row>
    <row r="351" spans="1:8" ht="19.899999999999999">
      <c r="A351" s="104" t="s">
        <v>52</v>
      </c>
      <c r="B351" s="105" t="s">
        <v>576</v>
      </c>
      <c r="C351" s="37" t="s">
        <v>587</v>
      </c>
      <c r="D351" s="106">
        <v>2022</v>
      </c>
      <c r="E351" s="107" t="s">
        <v>578</v>
      </c>
      <c r="F351" s="110">
        <v>52916</v>
      </c>
      <c r="G351" s="135"/>
      <c r="H351" s="109" t="s">
        <v>585</v>
      </c>
    </row>
    <row r="352" spans="1:8" ht="19.899999999999999">
      <c r="A352" s="104" t="s">
        <v>52</v>
      </c>
      <c r="B352" s="105" t="s">
        <v>576</v>
      </c>
      <c r="C352" s="37" t="s">
        <v>588</v>
      </c>
      <c r="D352" s="106">
        <v>2021</v>
      </c>
      <c r="E352" s="107" t="s">
        <v>578</v>
      </c>
      <c r="F352" s="110">
        <v>52786</v>
      </c>
      <c r="G352" s="135"/>
      <c r="H352" s="109" t="s">
        <v>585</v>
      </c>
    </row>
    <row r="353" spans="1:8" ht="19.899999999999999">
      <c r="A353" s="104" t="s">
        <v>52</v>
      </c>
      <c r="B353" s="105" t="s">
        <v>576</v>
      </c>
      <c r="C353" s="37" t="s">
        <v>589</v>
      </c>
      <c r="D353" s="106">
        <v>2020</v>
      </c>
      <c r="E353" s="107" t="s">
        <v>578</v>
      </c>
      <c r="F353" s="110">
        <v>51515</v>
      </c>
      <c r="G353" s="135"/>
      <c r="H353" s="109" t="s">
        <v>585</v>
      </c>
    </row>
    <row r="354" spans="1:8" ht="19.899999999999999">
      <c r="A354" s="104" t="s">
        <v>52</v>
      </c>
      <c r="B354" s="105" t="s">
        <v>590</v>
      </c>
      <c r="C354" s="37" t="s">
        <v>591</v>
      </c>
      <c r="D354" s="106">
        <v>2024</v>
      </c>
      <c r="E354" s="107" t="s">
        <v>592</v>
      </c>
      <c r="F354" s="110">
        <v>193.7</v>
      </c>
      <c r="G354" s="135"/>
      <c r="H354" s="109" t="s">
        <v>585</v>
      </c>
    </row>
    <row r="355" spans="1:8" ht="19.899999999999999">
      <c r="A355" s="104" t="s">
        <v>52</v>
      </c>
      <c r="B355" s="105" t="s">
        <v>590</v>
      </c>
      <c r="C355" s="37" t="s">
        <v>593</v>
      </c>
      <c r="D355" s="106">
        <v>2023</v>
      </c>
      <c r="E355" s="107" t="s">
        <v>592</v>
      </c>
      <c r="F355" s="110">
        <v>227.4</v>
      </c>
      <c r="G355" s="135"/>
      <c r="H355" s="109" t="s">
        <v>585</v>
      </c>
    </row>
    <row r="356" spans="1:8" ht="19.899999999999999">
      <c r="A356" s="104" t="s">
        <v>52</v>
      </c>
      <c r="B356" s="105" t="s">
        <v>590</v>
      </c>
      <c r="C356" s="37" t="s">
        <v>594</v>
      </c>
      <c r="D356" s="106">
        <v>2022</v>
      </c>
      <c r="E356" s="107" t="s">
        <v>592</v>
      </c>
      <c r="F356" s="110">
        <v>54.8</v>
      </c>
      <c r="G356" s="135"/>
      <c r="H356" s="109" t="s">
        <v>585</v>
      </c>
    </row>
    <row r="357" spans="1:8" ht="19.899999999999999">
      <c r="A357" s="104" t="s">
        <v>52</v>
      </c>
      <c r="B357" s="105" t="s">
        <v>590</v>
      </c>
      <c r="C357" s="37" t="s">
        <v>595</v>
      </c>
      <c r="D357" s="106">
        <v>2021</v>
      </c>
      <c r="E357" s="107" t="s">
        <v>592</v>
      </c>
      <c r="F357" s="110">
        <v>89.8</v>
      </c>
      <c r="G357" s="135"/>
      <c r="H357" s="109" t="s">
        <v>585</v>
      </c>
    </row>
    <row r="358" spans="1:8" ht="19.899999999999999">
      <c r="A358" s="104" t="s">
        <v>52</v>
      </c>
      <c r="B358" s="105" t="s">
        <v>590</v>
      </c>
      <c r="C358" s="37" t="s">
        <v>596</v>
      </c>
      <c r="D358" s="106">
        <v>2020</v>
      </c>
      <c r="E358" s="107" t="s">
        <v>592</v>
      </c>
      <c r="F358" s="110">
        <v>264.2</v>
      </c>
      <c r="G358" s="135"/>
      <c r="H358" s="109" t="s">
        <v>585</v>
      </c>
    </row>
    <row r="359" spans="1:8" ht="19.899999999999999">
      <c r="A359" s="104" t="s">
        <v>54</v>
      </c>
      <c r="B359" s="105" t="s">
        <v>58</v>
      </c>
      <c r="C359" s="37" t="s">
        <v>597</v>
      </c>
      <c r="D359" s="106">
        <v>2024</v>
      </c>
      <c r="E359" s="107" t="s">
        <v>598</v>
      </c>
      <c r="F359" s="108">
        <v>2.8</v>
      </c>
      <c r="G359" s="135">
        <v>2.8</v>
      </c>
      <c r="H359" s="109" t="s">
        <v>141</v>
      </c>
    </row>
    <row r="360" spans="1:8" ht="19.899999999999999">
      <c r="A360" s="104" t="s">
        <v>54</v>
      </c>
      <c r="B360" s="105" t="s">
        <v>599</v>
      </c>
      <c r="C360" s="37" t="s">
        <v>600</v>
      </c>
      <c r="D360" s="106">
        <v>2024</v>
      </c>
      <c r="E360" s="107" t="s">
        <v>113</v>
      </c>
      <c r="F360" s="112">
        <v>8.9999999999999993E-3</v>
      </c>
      <c r="G360" s="138">
        <v>1.0999999999999999E-2</v>
      </c>
      <c r="H360" s="109" t="s">
        <v>141</v>
      </c>
    </row>
    <row r="361" spans="1:8" ht="19.899999999999999">
      <c r="A361" s="104" t="s">
        <v>54</v>
      </c>
      <c r="B361" s="105" t="s">
        <v>599</v>
      </c>
      <c r="C361" s="37" t="s">
        <v>601</v>
      </c>
      <c r="D361" s="106">
        <v>2024</v>
      </c>
      <c r="E361" s="107" t="s">
        <v>113</v>
      </c>
      <c r="F361" s="112">
        <v>5.0999999999999997E-2</v>
      </c>
      <c r="G361" s="138">
        <v>5.7000000000000002E-2</v>
      </c>
      <c r="H361" s="109" t="s">
        <v>141</v>
      </c>
    </row>
    <row r="362" spans="1:8" ht="19.899999999999999">
      <c r="A362" s="104" t="s">
        <v>54</v>
      </c>
      <c r="B362" s="105" t="s">
        <v>602</v>
      </c>
      <c r="C362" s="37" t="s">
        <v>603</v>
      </c>
      <c r="D362" s="106">
        <v>2024</v>
      </c>
      <c r="E362" s="107" t="s">
        <v>113</v>
      </c>
      <c r="F362" s="112">
        <v>0.66400000000000003</v>
      </c>
      <c r="G362" s="138">
        <v>0.61099999999999999</v>
      </c>
      <c r="H362" s="109" t="s">
        <v>141</v>
      </c>
    </row>
    <row r="363" spans="1:8" ht="19.899999999999999">
      <c r="A363" s="104" t="s">
        <v>56</v>
      </c>
      <c r="B363" s="105" t="s">
        <v>604</v>
      </c>
      <c r="C363" s="37" t="s">
        <v>605</v>
      </c>
      <c r="D363" s="106">
        <v>2024</v>
      </c>
      <c r="E363" s="107" t="s">
        <v>113</v>
      </c>
      <c r="F363" s="112">
        <v>0.94699999999999995</v>
      </c>
      <c r="G363" s="135"/>
      <c r="H363" s="109" t="s">
        <v>141</v>
      </c>
    </row>
    <row r="364" spans="1:8" ht="19.899999999999999">
      <c r="A364" s="104" t="s">
        <v>56</v>
      </c>
      <c r="B364" s="105" t="s">
        <v>604</v>
      </c>
      <c r="C364" s="37" t="s">
        <v>606</v>
      </c>
      <c r="D364" s="106">
        <v>2024</v>
      </c>
      <c r="E364" s="107" t="s">
        <v>113</v>
      </c>
      <c r="F364" s="112">
        <v>0.97299999999999998</v>
      </c>
      <c r="G364" s="137">
        <v>0.96699999999999997</v>
      </c>
      <c r="H364" s="109" t="s">
        <v>141</v>
      </c>
    </row>
    <row r="365" spans="1:8" ht="19.899999999999999">
      <c r="A365" s="104" t="s">
        <v>56</v>
      </c>
      <c r="B365" s="105" t="s">
        <v>607</v>
      </c>
      <c r="C365" s="37" t="s">
        <v>608</v>
      </c>
      <c r="D365" s="106">
        <v>2024</v>
      </c>
      <c r="E365" s="107" t="s">
        <v>113</v>
      </c>
      <c r="F365" s="112">
        <v>0.96799999999999997</v>
      </c>
      <c r="G365" s="139">
        <v>0.97</v>
      </c>
      <c r="H365" s="109" t="s">
        <v>141</v>
      </c>
    </row>
    <row r="366" spans="1:8" ht="19.899999999999999">
      <c r="A366" s="104" t="s">
        <v>56</v>
      </c>
      <c r="B366" s="105" t="s">
        <v>607</v>
      </c>
      <c r="C366" s="37" t="s">
        <v>609</v>
      </c>
      <c r="D366" s="106">
        <v>2024</v>
      </c>
      <c r="E366" s="107" t="s">
        <v>113</v>
      </c>
      <c r="F366" s="112">
        <v>3.0000000000000001E-3</v>
      </c>
      <c r="G366" s="138">
        <v>2E-3</v>
      </c>
      <c r="H366" s="109" t="s">
        <v>141</v>
      </c>
    </row>
    <row r="367" spans="1:8" ht="19.899999999999999">
      <c r="A367" s="104" t="s">
        <v>56</v>
      </c>
      <c r="B367" s="105" t="s">
        <v>610</v>
      </c>
      <c r="C367" s="37" t="s">
        <v>611</v>
      </c>
      <c r="D367" s="106">
        <v>2024</v>
      </c>
      <c r="E367" s="107" t="s">
        <v>113</v>
      </c>
      <c r="F367" s="113">
        <v>0.91200000000000003</v>
      </c>
      <c r="G367" s="137">
        <v>0.93200000000000005</v>
      </c>
      <c r="H367" s="109" t="s">
        <v>141</v>
      </c>
    </row>
    <row r="368" spans="1:8" ht="19.899999999999999">
      <c r="A368" s="104" t="s">
        <v>58</v>
      </c>
      <c r="B368" s="105" t="s">
        <v>612</v>
      </c>
      <c r="C368" s="37" t="s">
        <v>613</v>
      </c>
      <c r="D368" s="106">
        <v>1992</v>
      </c>
      <c r="E368" s="107" t="s">
        <v>113</v>
      </c>
      <c r="F368" s="112">
        <v>0.63900000000000001</v>
      </c>
      <c r="G368" s="138">
        <v>0.62</v>
      </c>
      <c r="H368" s="109" t="s">
        <v>141</v>
      </c>
    </row>
    <row r="369" spans="1:8" ht="19.899999999999999">
      <c r="A369" s="104" t="s">
        <v>58</v>
      </c>
      <c r="B369" s="105" t="s">
        <v>612</v>
      </c>
      <c r="C369" s="37" t="s">
        <v>614</v>
      </c>
      <c r="D369" s="106">
        <v>2002</v>
      </c>
      <c r="E369" s="107" t="s">
        <v>113</v>
      </c>
      <c r="F369" s="112">
        <v>0.57099999999999995</v>
      </c>
      <c r="G369" s="138">
        <v>0.54300000000000004</v>
      </c>
      <c r="H369" s="109" t="s">
        <v>141</v>
      </c>
    </row>
    <row r="370" spans="1:8" ht="19.899999999999999">
      <c r="A370" s="104" t="s">
        <v>58</v>
      </c>
      <c r="B370" s="105" t="s">
        <v>612</v>
      </c>
      <c r="C370" s="37" t="s">
        <v>615</v>
      </c>
      <c r="D370" s="106">
        <v>2017</v>
      </c>
      <c r="E370" s="107" t="s">
        <v>113</v>
      </c>
      <c r="F370" s="112">
        <v>0.41</v>
      </c>
      <c r="G370" s="138">
        <v>0.39900000000000002</v>
      </c>
      <c r="H370" s="109" t="s">
        <v>141</v>
      </c>
    </row>
    <row r="371" spans="1:8" ht="19.899999999999999">
      <c r="A371" s="104" t="s">
        <v>58</v>
      </c>
      <c r="B371" s="105" t="s">
        <v>612</v>
      </c>
      <c r="C371" s="37" t="s">
        <v>616</v>
      </c>
      <c r="D371" s="106">
        <v>2024</v>
      </c>
      <c r="E371" s="107" t="s">
        <v>113</v>
      </c>
      <c r="F371" s="112">
        <v>0.34399999999999997</v>
      </c>
      <c r="G371" s="138">
        <v>0.33200000000000002</v>
      </c>
      <c r="H371" s="109" t="s">
        <v>141</v>
      </c>
    </row>
    <row r="372" spans="1:8" ht="39.6">
      <c r="A372" s="104" t="s">
        <v>58</v>
      </c>
      <c r="B372" s="105" t="s">
        <v>617</v>
      </c>
      <c r="C372" s="37" t="s">
        <v>618</v>
      </c>
      <c r="D372" s="106">
        <v>1992</v>
      </c>
      <c r="E372" s="107" t="s">
        <v>113</v>
      </c>
      <c r="F372" s="112">
        <v>4.4999999999999998E-2</v>
      </c>
      <c r="G372" s="138">
        <v>4.2999999999999997E-2</v>
      </c>
      <c r="H372" s="109" t="s">
        <v>141</v>
      </c>
    </row>
    <row r="373" spans="1:8" ht="39.6">
      <c r="A373" s="104" t="s">
        <v>58</v>
      </c>
      <c r="B373" s="105" t="s">
        <v>617</v>
      </c>
      <c r="C373" s="37" t="s">
        <v>619</v>
      </c>
      <c r="D373" s="106">
        <v>2002</v>
      </c>
      <c r="E373" s="107" t="s">
        <v>113</v>
      </c>
      <c r="F373" s="112">
        <v>6.0999999999999999E-2</v>
      </c>
      <c r="G373" s="138">
        <v>0.06</v>
      </c>
      <c r="H373" s="109" t="s">
        <v>141</v>
      </c>
    </row>
    <row r="374" spans="1:8" ht="39.6">
      <c r="A374" s="104" t="s">
        <v>58</v>
      </c>
      <c r="B374" s="105" t="s">
        <v>617</v>
      </c>
      <c r="C374" s="37" t="s">
        <v>620</v>
      </c>
      <c r="D374" s="106">
        <v>2017</v>
      </c>
      <c r="E374" s="107" t="s">
        <v>113</v>
      </c>
      <c r="F374" s="112">
        <v>9.8000000000000004E-2</v>
      </c>
      <c r="G374" s="138">
        <v>9.1999999999999998E-2</v>
      </c>
      <c r="H374" s="109" t="s">
        <v>141</v>
      </c>
    </row>
    <row r="375" spans="1:8" ht="39.6">
      <c r="A375" s="104" t="s">
        <v>58</v>
      </c>
      <c r="B375" s="105" t="s">
        <v>617</v>
      </c>
      <c r="C375" s="37" t="s">
        <v>621</v>
      </c>
      <c r="D375" s="106">
        <v>2024</v>
      </c>
      <c r="E375" s="107" t="s">
        <v>113</v>
      </c>
      <c r="F375" s="112">
        <v>0.128</v>
      </c>
      <c r="G375" s="138">
        <v>0.11600000000000001</v>
      </c>
      <c r="H375" s="109" t="s">
        <v>141</v>
      </c>
    </row>
    <row r="376" spans="1:8" ht="19.899999999999999">
      <c r="A376" s="104" t="s">
        <v>58</v>
      </c>
      <c r="B376" s="105" t="s">
        <v>622</v>
      </c>
      <c r="C376" s="37" t="s">
        <v>623</v>
      </c>
      <c r="D376" s="106">
        <v>1992</v>
      </c>
      <c r="E376" s="107" t="s">
        <v>113</v>
      </c>
      <c r="F376" s="112">
        <v>8.5000000000000006E-2</v>
      </c>
      <c r="G376" s="138">
        <v>8.3000000000000004E-2</v>
      </c>
      <c r="H376" s="109" t="s">
        <v>141</v>
      </c>
    </row>
    <row r="377" spans="1:8" ht="19.899999999999999">
      <c r="A377" s="104" t="s">
        <v>58</v>
      </c>
      <c r="B377" s="105" t="s">
        <v>622</v>
      </c>
      <c r="C377" s="37" t="s">
        <v>624</v>
      </c>
      <c r="D377" s="106">
        <v>2002</v>
      </c>
      <c r="E377" s="107" t="s">
        <v>113</v>
      </c>
      <c r="F377" s="112">
        <v>0.11</v>
      </c>
      <c r="G377" s="138">
        <v>0.114</v>
      </c>
      <c r="H377" s="109" t="s">
        <v>141</v>
      </c>
    </row>
    <row r="378" spans="1:8" ht="19.899999999999999">
      <c r="A378" s="104" t="s">
        <v>58</v>
      </c>
      <c r="B378" s="105" t="s">
        <v>622</v>
      </c>
      <c r="C378" s="37" t="s">
        <v>625</v>
      </c>
      <c r="D378" s="106">
        <v>2017</v>
      </c>
      <c r="E378" s="107" t="s">
        <v>113</v>
      </c>
      <c r="F378" s="112">
        <v>0.17299999999999999</v>
      </c>
      <c r="G378" s="138">
        <v>0.17699999999999999</v>
      </c>
      <c r="H378" s="109" t="s">
        <v>141</v>
      </c>
    </row>
    <row r="379" spans="1:8" ht="19.899999999999999">
      <c r="A379" s="104" t="s">
        <v>58</v>
      </c>
      <c r="B379" s="105" t="s">
        <v>622</v>
      </c>
      <c r="C379" s="37" t="s">
        <v>626</v>
      </c>
      <c r="D379" s="106">
        <v>2024</v>
      </c>
      <c r="E379" s="107" t="s">
        <v>113</v>
      </c>
      <c r="F379" s="112">
        <v>0.20200000000000001</v>
      </c>
      <c r="G379" s="138">
        <v>0.218</v>
      </c>
      <c r="H379" s="109" t="s">
        <v>141</v>
      </c>
    </row>
    <row r="380" spans="1:8" ht="19.899999999999999">
      <c r="A380" s="104" t="s">
        <v>58</v>
      </c>
      <c r="B380" s="105" t="s">
        <v>627</v>
      </c>
      <c r="C380" s="37" t="s">
        <v>628</v>
      </c>
      <c r="D380" s="106">
        <v>2024</v>
      </c>
      <c r="E380" s="107" t="s">
        <v>113</v>
      </c>
      <c r="F380" s="112">
        <v>0.79400000000000004</v>
      </c>
      <c r="G380" s="138">
        <v>0.74199999999999999</v>
      </c>
      <c r="H380" s="109" t="s">
        <v>141</v>
      </c>
    </row>
    <row r="381" spans="1:8" ht="19.899999999999999">
      <c r="A381" s="104" t="s">
        <v>58</v>
      </c>
      <c r="B381" s="105" t="s">
        <v>629</v>
      </c>
      <c r="C381" s="37" t="s">
        <v>630</v>
      </c>
      <c r="D381" s="106">
        <v>2023</v>
      </c>
      <c r="E381" s="107" t="s">
        <v>631</v>
      </c>
      <c r="F381" s="108">
        <v>54</v>
      </c>
      <c r="G381" s="135"/>
      <c r="H381" s="109" t="s">
        <v>632</v>
      </c>
    </row>
    <row r="382" spans="1:8" ht="19.899999999999999">
      <c r="A382" s="104" t="s">
        <v>58</v>
      </c>
      <c r="B382" s="105" t="s">
        <v>629</v>
      </c>
      <c r="C382" s="37" t="s">
        <v>633</v>
      </c>
      <c r="D382" s="106">
        <v>2023</v>
      </c>
      <c r="E382" s="107" t="s">
        <v>631</v>
      </c>
      <c r="F382" s="108">
        <v>68</v>
      </c>
      <c r="G382" s="135"/>
      <c r="H382" s="109" t="s">
        <v>632</v>
      </c>
    </row>
    <row r="383" spans="1:8" ht="39.6">
      <c r="A383" s="104" t="s">
        <v>58</v>
      </c>
      <c r="B383" s="105" t="s">
        <v>634</v>
      </c>
      <c r="C383" s="37" t="s">
        <v>635</v>
      </c>
      <c r="D383" s="106">
        <v>2023</v>
      </c>
      <c r="E383" s="107" t="s">
        <v>352</v>
      </c>
      <c r="F383" s="112">
        <v>0.101521588861942</v>
      </c>
      <c r="G383" s="135"/>
      <c r="H383" s="109" t="s">
        <v>636</v>
      </c>
    </row>
    <row r="384" spans="1:8" ht="39.6">
      <c r="A384" s="104" t="s">
        <v>58</v>
      </c>
      <c r="B384" s="105" t="s">
        <v>634</v>
      </c>
      <c r="C384" s="37" t="s">
        <v>637</v>
      </c>
      <c r="D384" s="106">
        <v>2023</v>
      </c>
      <c r="E384" s="107" t="s">
        <v>352</v>
      </c>
      <c r="F384" s="112">
        <v>0.81654930114746105</v>
      </c>
      <c r="G384" s="135"/>
      <c r="H384" s="109" t="s">
        <v>636</v>
      </c>
    </row>
    <row r="385" spans="1:8" ht="19.899999999999999">
      <c r="A385" s="104" t="s">
        <v>58</v>
      </c>
      <c r="B385" s="105" t="s">
        <v>634</v>
      </c>
      <c r="C385" s="37" t="s">
        <v>638</v>
      </c>
      <c r="D385" s="106">
        <v>2023</v>
      </c>
      <c r="E385" s="107" t="s">
        <v>352</v>
      </c>
      <c r="F385" s="112">
        <v>7.8707329928874997E-2</v>
      </c>
      <c r="G385" s="135"/>
      <c r="H385" s="109" t="s">
        <v>636</v>
      </c>
    </row>
    <row r="386" spans="1:8" ht="19.899999999999999">
      <c r="A386" s="104" t="s">
        <v>60</v>
      </c>
      <c r="B386" s="105" t="s">
        <v>639</v>
      </c>
      <c r="C386" s="37" t="s">
        <v>640</v>
      </c>
      <c r="D386" s="106">
        <v>2024</v>
      </c>
      <c r="E386" s="107" t="s">
        <v>113</v>
      </c>
      <c r="F386" s="112">
        <v>0.39400000000000002</v>
      </c>
      <c r="G386" s="135"/>
      <c r="H386" s="109" t="s">
        <v>641</v>
      </c>
    </row>
    <row r="387" spans="1:8" ht="19.899999999999999">
      <c r="A387" s="104" t="s">
        <v>60</v>
      </c>
      <c r="B387" s="105" t="s">
        <v>639</v>
      </c>
      <c r="C387" s="37" t="s">
        <v>642</v>
      </c>
      <c r="D387" s="106">
        <v>2024</v>
      </c>
      <c r="E387" s="107" t="s">
        <v>113</v>
      </c>
      <c r="F387" s="112">
        <v>0.73843484143689497</v>
      </c>
      <c r="G387" s="135"/>
      <c r="H387" s="109" t="s">
        <v>164</v>
      </c>
    </row>
    <row r="388" spans="1:8" ht="19.899999999999999">
      <c r="A388" s="104" t="s">
        <v>60</v>
      </c>
      <c r="B388" s="105" t="s">
        <v>643</v>
      </c>
      <c r="C388" s="37" t="s">
        <v>644</v>
      </c>
      <c r="D388" s="106">
        <v>2024</v>
      </c>
      <c r="E388" s="107" t="s">
        <v>645</v>
      </c>
      <c r="F388" s="120">
        <v>6.5840796731235196</v>
      </c>
      <c r="G388" s="147">
        <v>7.5663282422638503</v>
      </c>
      <c r="H388" s="109" t="s">
        <v>164</v>
      </c>
    </row>
    <row r="389" spans="1:8" ht="19.899999999999999">
      <c r="A389" s="104" t="s">
        <v>60</v>
      </c>
      <c r="B389" s="105" t="s">
        <v>643</v>
      </c>
      <c r="C389" s="37" t="s">
        <v>646</v>
      </c>
      <c r="D389" s="106">
        <v>2024</v>
      </c>
      <c r="E389" s="107" t="s">
        <v>113</v>
      </c>
      <c r="F389" s="112">
        <v>0.73499999999999999</v>
      </c>
      <c r="G389" s="138">
        <v>0.77700000000000002</v>
      </c>
      <c r="H389" s="109" t="s">
        <v>164</v>
      </c>
    </row>
    <row r="390" spans="1:8" ht="19.899999999999999">
      <c r="A390" s="104" t="s">
        <v>60</v>
      </c>
      <c r="B390" s="105" t="s">
        <v>647</v>
      </c>
      <c r="C390" s="37" t="s">
        <v>648</v>
      </c>
      <c r="D390" s="106">
        <v>2024</v>
      </c>
      <c r="E390" s="107" t="s">
        <v>352</v>
      </c>
      <c r="F390" s="112">
        <v>0.38</v>
      </c>
      <c r="G390" s="138">
        <v>0.36625000000000002</v>
      </c>
      <c r="H390" s="109" t="s">
        <v>649</v>
      </c>
    </row>
    <row r="391" spans="1:8" ht="19.899999999999999">
      <c r="A391" s="104" t="s">
        <v>60</v>
      </c>
      <c r="B391" s="105" t="s">
        <v>647</v>
      </c>
      <c r="C391" s="37" t="s">
        <v>650</v>
      </c>
      <c r="D391" s="106">
        <v>2024</v>
      </c>
      <c r="E391" s="107" t="s">
        <v>352</v>
      </c>
      <c r="F391" s="112">
        <v>0.17</v>
      </c>
      <c r="G391" s="138">
        <v>0.19562499999999999</v>
      </c>
      <c r="H391" s="109" t="s">
        <v>649</v>
      </c>
    </row>
    <row r="392" spans="1:8" ht="19.899999999999999">
      <c r="A392" s="104" t="s">
        <v>60</v>
      </c>
      <c r="B392" s="105" t="s">
        <v>651</v>
      </c>
      <c r="C392" s="37" t="s">
        <v>652</v>
      </c>
      <c r="D392" s="106">
        <v>2024</v>
      </c>
      <c r="E392" s="107" t="s">
        <v>352</v>
      </c>
      <c r="F392" s="112">
        <v>0.21</v>
      </c>
      <c r="G392" s="138">
        <v>0.218</v>
      </c>
      <c r="H392" s="109" t="s">
        <v>649</v>
      </c>
    </row>
    <row r="393" spans="1:8" ht="19.899999999999999">
      <c r="A393" s="104" t="s">
        <v>60</v>
      </c>
      <c r="B393" s="105" t="s">
        <v>651</v>
      </c>
      <c r="C393" s="37" t="s">
        <v>653</v>
      </c>
      <c r="D393" s="106">
        <v>2024</v>
      </c>
      <c r="E393" s="107" t="s">
        <v>352</v>
      </c>
      <c r="F393" s="112">
        <v>0.79</v>
      </c>
      <c r="G393" s="138">
        <v>0.78200000000000003</v>
      </c>
      <c r="H393" s="109" t="s">
        <v>649</v>
      </c>
    </row>
    <row r="394" spans="1:8" ht="19.899999999999999">
      <c r="A394" s="104" t="s">
        <v>60</v>
      </c>
      <c r="B394" s="105" t="s">
        <v>654</v>
      </c>
      <c r="C394" s="37" t="s">
        <v>655</v>
      </c>
      <c r="D394" s="106">
        <v>2024</v>
      </c>
      <c r="E394" s="107" t="s">
        <v>352</v>
      </c>
      <c r="F394" s="112">
        <v>0.15</v>
      </c>
      <c r="G394" s="138">
        <v>0.15266666666666701</v>
      </c>
      <c r="H394" s="109" t="s">
        <v>649</v>
      </c>
    </row>
    <row r="395" spans="1:8" ht="19.899999999999999">
      <c r="A395" s="104" t="s">
        <v>60</v>
      </c>
      <c r="B395" s="105" t="s">
        <v>654</v>
      </c>
      <c r="C395" s="37" t="s">
        <v>656</v>
      </c>
      <c r="D395" s="106">
        <v>2024</v>
      </c>
      <c r="E395" s="107" t="s">
        <v>352</v>
      </c>
      <c r="F395" s="112">
        <v>0.21</v>
      </c>
      <c r="G395" s="138">
        <v>0.25333333333333302</v>
      </c>
      <c r="H395" s="109" t="s">
        <v>649</v>
      </c>
    </row>
    <row r="396" spans="1:8" ht="19.899999999999999">
      <c r="A396" s="104" t="s">
        <v>60</v>
      </c>
      <c r="B396" s="105" t="s">
        <v>654</v>
      </c>
      <c r="C396" s="37" t="s">
        <v>657</v>
      </c>
      <c r="D396" s="106">
        <v>2024</v>
      </c>
      <c r="E396" s="107" t="s">
        <v>352</v>
      </c>
      <c r="F396" s="112">
        <v>0.63</v>
      </c>
      <c r="G396" s="138">
        <v>0.59533333333333305</v>
      </c>
      <c r="H396" s="109" t="s">
        <v>649</v>
      </c>
    </row>
    <row r="397" spans="1:8" ht="19.899999999999999">
      <c r="A397" s="104" t="s">
        <v>60</v>
      </c>
      <c r="B397" s="105" t="s">
        <v>658</v>
      </c>
      <c r="C397" s="37" t="s">
        <v>659</v>
      </c>
      <c r="D397" s="106">
        <v>2024</v>
      </c>
      <c r="E397" s="107" t="s">
        <v>346</v>
      </c>
      <c r="F397" s="112">
        <v>0.72</v>
      </c>
      <c r="G397" s="135"/>
      <c r="H397" s="109" t="s">
        <v>649</v>
      </c>
    </row>
    <row r="398" spans="1:8" ht="19.899999999999999">
      <c r="A398" s="104" t="s">
        <v>60</v>
      </c>
      <c r="B398" s="105" t="s">
        <v>658</v>
      </c>
      <c r="C398" s="37" t="s">
        <v>660</v>
      </c>
      <c r="D398" s="106">
        <v>2024</v>
      </c>
      <c r="E398" s="107" t="s">
        <v>346</v>
      </c>
      <c r="F398" s="112">
        <v>0.28000000000000003</v>
      </c>
      <c r="G398" s="135"/>
      <c r="H398" s="109" t="s">
        <v>649</v>
      </c>
    </row>
    <row r="399" spans="1:8" ht="19.899999999999999">
      <c r="A399" s="104" t="s">
        <v>60</v>
      </c>
      <c r="B399" s="105" t="s">
        <v>661</v>
      </c>
      <c r="C399" s="37" t="s">
        <v>662</v>
      </c>
      <c r="D399" s="106">
        <v>2024</v>
      </c>
      <c r="E399" s="107" t="s">
        <v>134</v>
      </c>
      <c r="F399" s="108">
        <v>7.6</v>
      </c>
      <c r="G399" s="135">
        <v>7.71875</v>
      </c>
      <c r="H399" s="109" t="s">
        <v>649</v>
      </c>
    </row>
    <row r="400" spans="1:8" ht="19.899999999999999">
      <c r="A400" s="104" t="s">
        <v>60</v>
      </c>
      <c r="B400" s="105" t="s">
        <v>661</v>
      </c>
      <c r="C400" s="37" t="s">
        <v>663</v>
      </c>
      <c r="D400" s="106">
        <v>2024</v>
      </c>
      <c r="E400" s="107" t="s">
        <v>664</v>
      </c>
      <c r="F400" s="112">
        <v>0.64</v>
      </c>
      <c r="G400" s="138">
        <v>0.58062499999999995</v>
      </c>
      <c r="H400" s="109" t="s">
        <v>649</v>
      </c>
    </row>
    <row r="401" spans="1:8" ht="19.899999999999999">
      <c r="A401" s="104" t="s">
        <v>60</v>
      </c>
      <c r="B401" s="105" t="s">
        <v>661</v>
      </c>
      <c r="C401" s="37" t="s">
        <v>665</v>
      </c>
      <c r="D401" s="106">
        <v>2024</v>
      </c>
      <c r="E401" s="107" t="s">
        <v>664</v>
      </c>
      <c r="F401" s="112">
        <v>0.36</v>
      </c>
      <c r="G401" s="135"/>
      <c r="H401" s="109" t="s">
        <v>649</v>
      </c>
    </row>
    <row r="402" spans="1:8" ht="19.899999999999999">
      <c r="A402" s="104" t="s">
        <v>62</v>
      </c>
      <c r="B402" s="105" t="s">
        <v>666</v>
      </c>
      <c r="C402" s="37" t="s">
        <v>667</v>
      </c>
      <c r="D402" s="106">
        <v>2024</v>
      </c>
      <c r="E402" s="107" t="s">
        <v>62</v>
      </c>
      <c r="F402" s="110">
        <v>393618</v>
      </c>
      <c r="G402" s="136">
        <v>6592807</v>
      </c>
      <c r="H402" s="109" t="s">
        <v>164</v>
      </c>
    </row>
    <row r="403" spans="1:8" ht="19.899999999999999">
      <c r="A403" s="104" t="s">
        <v>62</v>
      </c>
      <c r="B403" s="105" t="s">
        <v>666</v>
      </c>
      <c r="C403" s="37" t="s">
        <v>668</v>
      </c>
      <c r="D403" s="106">
        <v>2024</v>
      </c>
      <c r="E403" s="107" t="s">
        <v>62</v>
      </c>
      <c r="F403" s="110">
        <v>278010</v>
      </c>
      <c r="G403" s="136">
        <v>4739452</v>
      </c>
      <c r="H403" s="109" t="s">
        <v>164</v>
      </c>
    </row>
    <row r="404" spans="1:8" ht="19.899999999999999">
      <c r="A404" s="104" t="s">
        <v>62</v>
      </c>
      <c r="B404" s="105" t="s">
        <v>666</v>
      </c>
      <c r="C404" s="37" t="s">
        <v>669</v>
      </c>
      <c r="D404" s="106">
        <v>2024</v>
      </c>
      <c r="E404" s="107" t="s">
        <v>62</v>
      </c>
      <c r="F404" s="110">
        <v>113743</v>
      </c>
      <c r="G404" s="136">
        <v>1807463</v>
      </c>
      <c r="H404" s="109" t="s">
        <v>164</v>
      </c>
    </row>
    <row r="405" spans="1:8" ht="19.899999999999999">
      <c r="A405" s="104" t="s">
        <v>62</v>
      </c>
      <c r="B405" s="105" t="s">
        <v>666</v>
      </c>
      <c r="C405" s="37" t="s">
        <v>670</v>
      </c>
      <c r="D405" s="106">
        <v>2024</v>
      </c>
      <c r="E405" s="107" t="s">
        <v>62</v>
      </c>
      <c r="F405" s="110">
        <v>889</v>
      </c>
      <c r="G405" s="136">
        <v>12039</v>
      </c>
      <c r="H405" s="109" t="s">
        <v>164</v>
      </c>
    </row>
    <row r="406" spans="1:8" ht="19.899999999999999">
      <c r="A406" s="104" t="s">
        <v>62</v>
      </c>
      <c r="B406" s="105" t="s">
        <v>666</v>
      </c>
      <c r="C406" s="37" t="s">
        <v>671</v>
      </c>
      <c r="D406" s="106">
        <v>2024</v>
      </c>
      <c r="E406" s="107" t="s">
        <v>62</v>
      </c>
      <c r="F406" s="110">
        <v>976</v>
      </c>
      <c r="G406" s="136">
        <v>33853</v>
      </c>
      <c r="H406" s="109" t="s">
        <v>164</v>
      </c>
    </row>
    <row r="407" spans="1:8" ht="19.899999999999999">
      <c r="A407" s="104" t="s">
        <v>64</v>
      </c>
      <c r="B407" s="105" t="s">
        <v>672</v>
      </c>
      <c r="C407" s="37" t="s">
        <v>673</v>
      </c>
      <c r="D407" s="106">
        <v>2025</v>
      </c>
      <c r="E407" s="107" t="s">
        <v>674</v>
      </c>
      <c r="F407" s="110">
        <v>35</v>
      </c>
      <c r="G407" s="135">
        <v>396</v>
      </c>
      <c r="H407" s="109" t="s">
        <v>675</v>
      </c>
    </row>
    <row r="408" spans="1:8" ht="19.899999999999999">
      <c r="A408" s="104" t="s">
        <v>64</v>
      </c>
      <c r="B408" s="105" t="s">
        <v>672</v>
      </c>
      <c r="C408" s="37" t="s">
        <v>676</v>
      </c>
      <c r="D408" s="106">
        <v>2024</v>
      </c>
      <c r="E408" s="107" t="s">
        <v>674</v>
      </c>
      <c r="F408" s="110">
        <v>37</v>
      </c>
      <c r="G408" s="135">
        <v>458</v>
      </c>
      <c r="H408" s="109" t="s">
        <v>675</v>
      </c>
    </row>
    <row r="409" spans="1:8" ht="19.899999999999999">
      <c r="A409" s="104" t="s">
        <v>64</v>
      </c>
      <c r="B409" s="105" t="s">
        <v>672</v>
      </c>
      <c r="C409" s="37" t="s">
        <v>677</v>
      </c>
      <c r="D409" s="106">
        <v>2023</v>
      </c>
      <c r="E409" s="107" t="s">
        <v>674</v>
      </c>
      <c r="F409" s="110">
        <v>40</v>
      </c>
      <c r="G409" s="135">
        <v>448</v>
      </c>
      <c r="H409" s="109" t="s">
        <v>675</v>
      </c>
    </row>
    <row r="410" spans="1:8" ht="19.899999999999999">
      <c r="A410" s="104" t="s">
        <v>64</v>
      </c>
      <c r="B410" s="105" t="s">
        <v>672</v>
      </c>
      <c r="C410" s="37" t="s">
        <v>678</v>
      </c>
      <c r="D410" s="106">
        <v>2025</v>
      </c>
      <c r="E410" s="107" t="s">
        <v>679</v>
      </c>
      <c r="F410" s="117">
        <v>1290.23</v>
      </c>
      <c r="G410" s="144">
        <v>92903.79</v>
      </c>
      <c r="H410" s="109" t="s">
        <v>675</v>
      </c>
    </row>
    <row r="411" spans="1:8" ht="19.899999999999999">
      <c r="A411" s="104" t="s">
        <v>64</v>
      </c>
      <c r="B411" s="105" t="s">
        <v>672</v>
      </c>
      <c r="C411" s="37" t="s">
        <v>680</v>
      </c>
      <c r="D411" s="106">
        <v>2024</v>
      </c>
      <c r="E411" s="107" t="s">
        <v>679</v>
      </c>
      <c r="F411" s="117">
        <v>1942.25</v>
      </c>
      <c r="G411" s="144">
        <v>90562.18</v>
      </c>
      <c r="H411" s="109" t="s">
        <v>675</v>
      </c>
    </row>
    <row r="412" spans="1:8" ht="19.899999999999999">
      <c r="A412" s="104" t="s">
        <v>64</v>
      </c>
      <c r="B412" s="105" t="s">
        <v>672</v>
      </c>
      <c r="C412" s="37" t="s">
        <v>681</v>
      </c>
      <c r="D412" s="106">
        <v>2023</v>
      </c>
      <c r="E412" s="107" t="s">
        <v>679</v>
      </c>
      <c r="F412" s="117">
        <v>917.84</v>
      </c>
      <c r="G412" s="144">
        <v>53118.49</v>
      </c>
      <c r="H412" s="109" t="s">
        <v>675</v>
      </c>
    </row>
    <row r="413" spans="1:8" ht="19.899999999999999">
      <c r="A413" s="104" t="s">
        <v>64</v>
      </c>
      <c r="B413" s="105" t="s">
        <v>682</v>
      </c>
      <c r="C413" s="37" t="s">
        <v>683</v>
      </c>
      <c r="D413" s="106">
        <v>2023</v>
      </c>
      <c r="E413" s="107" t="s">
        <v>679</v>
      </c>
      <c r="F413" s="110">
        <v>458</v>
      </c>
      <c r="G413" s="136"/>
      <c r="H413" s="109" t="s">
        <v>684</v>
      </c>
    </row>
    <row r="414" spans="1:8" ht="19.899999999999999">
      <c r="A414" s="104" t="s">
        <v>64</v>
      </c>
      <c r="B414" s="105" t="s">
        <v>682</v>
      </c>
      <c r="C414" s="37" t="s">
        <v>685</v>
      </c>
      <c r="D414" s="106">
        <v>2024</v>
      </c>
      <c r="E414" s="107" t="s">
        <v>679</v>
      </c>
      <c r="F414" s="110">
        <v>516</v>
      </c>
      <c r="G414" s="136"/>
      <c r="H414" s="109" t="s">
        <v>684</v>
      </c>
    </row>
    <row r="415" spans="1:8" ht="19.899999999999999">
      <c r="A415" s="104" t="s">
        <v>64</v>
      </c>
      <c r="B415" s="105" t="s">
        <v>682</v>
      </c>
      <c r="C415" s="37" t="s">
        <v>686</v>
      </c>
      <c r="D415" s="106">
        <v>2025</v>
      </c>
      <c r="E415" s="107" t="s">
        <v>679</v>
      </c>
      <c r="F415" s="110">
        <v>509</v>
      </c>
      <c r="G415" s="136"/>
      <c r="H415" s="109" t="s">
        <v>684</v>
      </c>
    </row>
    <row r="416" spans="1:8" ht="19.899999999999999">
      <c r="A416" s="104" t="s">
        <v>64</v>
      </c>
      <c r="B416" s="105" t="s">
        <v>687</v>
      </c>
      <c r="C416" s="37" t="s">
        <v>688</v>
      </c>
      <c r="D416" s="106">
        <v>2023</v>
      </c>
      <c r="E416" s="107" t="s">
        <v>689</v>
      </c>
      <c r="F416" s="110">
        <v>450</v>
      </c>
      <c r="G416" s="136"/>
      <c r="H416" s="109" t="s">
        <v>684</v>
      </c>
    </row>
    <row r="417" spans="1:8" ht="19.899999999999999">
      <c r="A417" s="104" t="s">
        <v>64</v>
      </c>
      <c r="B417" s="105" t="s">
        <v>687</v>
      </c>
      <c r="C417" s="37" t="s">
        <v>690</v>
      </c>
      <c r="D417" s="106">
        <v>2024</v>
      </c>
      <c r="E417" s="107" t="s">
        <v>689</v>
      </c>
      <c r="F417" s="110">
        <v>503</v>
      </c>
      <c r="G417" s="136"/>
      <c r="H417" s="109" t="s">
        <v>684</v>
      </c>
    </row>
    <row r="418" spans="1:8" ht="19.899999999999999">
      <c r="A418" s="104" t="s">
        <v>64</v>
      </c>
      <c r="B418" s="105" t="s">
        <v>687</v>
      </c>
      <c r="C418" s="37" t="s">
        <v>691</v>
      </c>
      <c r="D418" s="106">
        <v>2025</v>
      </c>
      <c r="E418" s="107" t="s">
        <v>689</v>
      </c>
      <c r="F418" s="110">
        <v>493</v>
      </c>
      <c r="G418" s="136"/>
      <c r="H418" s="109" t="s">
        <v>684</v>
      </c>
    </row>
    <row r="419" spans="1:8" ht="19.899999999999999">
      <c r="A419" s="104" t="s">
        <v>66</v>
      </c>
      <c r="B419" s="105" t="s">
        <v>692</v>
      </c>
      <c r="C419" s="37" t="s">
        <v>693</v>
      </c>
      <c r="D419" s="106">
        <v>2020</v>
      </c>
      <c r="E419" s="107" t="s">
        <v>694</v>
      </c>
      <c r="F419" s="110">
        <v>1</v>
      </c>
      <c r="G419" s="135"/>
      <c r="H419" s="109" t="s">
        <v>164</v>
      </c>
    </row>
    <row r="420" spans="1:8" ht="19.899999999999999">
      <c r="A420" s="104" t="s">
        <v>66</v>
      </c>
      <c r="B420" s="105" t="s">
        <v>692</v>
      </c>
      <c r="C420" s="37" t="s">
        <v>695</v>
      </c>
      <c r="D420" s="106">
        <v>2021</v>
      </c>
      <c r="E420" s="107" t="s">
        <v>694</v>
      </c>
      <c r="F420" s="110">
        <v>4</v>
      </c>
      <c r="G420" s="135"/>
      <c r="H420" s="109" t="s">
        <v>164</v>
      </c>
    </row>
    <row r="421" spans="1:8" ht="19.899999999999999">
      <c r="A421" s="104" t="s">
        <v>66</v>
      </c>
      <c r="B421" s="105" t="s">
        <v>692</v>
      </c>
      <c r="C421" s="37" t="s">
        <v>696</v>
      </c>
      <c r="D421" s="106">
        <v>2022</v>
      </c>
      <c r="E421" s="107" t="s">
        <v>694</v>
      </c>
      <c r="F421" s="110">
        <v>0</v>
      </c>
      <c r="G421" s="135"/>
      <c r="H421" s="109" t="s">
        <v>164</v>
      </c>
    </row>
    <row r="422" spans="1:8" ht="19.899999999999999">
      <c r="A422" s="104" t="s">
        <v>66</v>
      </c>
      <c r="B422" s="105" t="s">
        <v>692</v>
      </c>
      <c r="C422" s="37" t="s">
        <v>697</v>
      </c>
      <c r="D422" s="106">
        <v>2023</v>
      </c>
      <c r="E422" s="107" t="s">
        <v>694</v>
      </c>
      <c r="F422" s="110">
        <v>0</v>
      </c>
      <c r="G422" s="135"/>
      <c r="H422" s="109" t="s">
        <v>164</v>
      </c>
    </row>
    <row r="423" spans="1:8" ht="19.899999999999999">
      <c r="A423" s="104" t="s">
        <v>66</v>
      </c>
      <c r="B423" s="105" t="s">
        <v>692</v>
      </c>
      <c r="C423" s="37" t="s">
        <v>698</v>
      </c>
      <c r="D423" s="106">
        <v>2024</v>
      </c>
      <c r="E423" s="107" t="s">
        <v>694</v>
      </c>
      <c r="F423" s="110">
        <v>0</v>
      </c>
      <c r="G423" s="135"/>
      <c r="H423" s="109" t="s">
        <v>164</v>
      </c>
    </row>
    <row r="424" spans="1:8" ht="19.899999999999999">
      <c r="A424" s="104" t="s">
        <v>66</v>
      </c>
      <c r="B424" s="105" t="s">
        <v>699</v>
      </c>
      <c r="C424" s="37" t="s">
        <v>700</v>
      </c>
      <c r="D424" s="106">
        <v>2020</v>
      </c>
      <c r="E424" s="107" t="s">
        <v>694</v>
      </c>
      <c r="F424" s="110">
        <v>2840</v>
      </c>
      <c r="G424" s="135"/>
      <c r="H424" s="109" t="s">
        <v>164</v>
      </c>
    </row>
    <row r="425" spans="1:8" ht="19.899999999999999">
      <c r="A425" s="104" t="s">
        <v>66</v>
      </c>
      <c r="B425" s="105" t="s">
        <v>699</v>
      </c>
      <c r="C425" s="37" t="s">
        <v>701</v>
      </c>
      <c r="D425" s="106">
        <v>2021</v>
      </c>
      <c r="E425" s="107" t="s">
        <v>694</v>
      </c>
      <c r="F425" s="110">
        <v>3096</v>
      </c>
      <c r="G425" s="135"/>
      <c r="H425" s="109" t="s">
        <v>164</v>
      </c>
    </row>
    <row r="426" spans="1:8" ht="19.899999999999999">
      <c r="A426" s="104" t="s">
        <v>66</v>
      </c>
      <c r="B426" s="105" t="s">
        <v>699</v>
      </c>
      <c r="C426" s="37" t="s">
        <v>702</v>
      </c>
      <c r="D426" s="106">
        <v>2022</v>
      </c>
      <c r="E426" s="107" t="s">
        <v>694</v>
      </c>
      <c r="F426" s="110">
        <v>5314</v>
      </c>
      <c r="G426" s="135"/>
      <c r="H426" s="109" t="s">
        <v>164</v>
      </c>
    </row>
    <row r="427" spans="1:8" ht="19.899999999999999">
      <c r="A427" s="104" t="s">
        <v>66</v>
      </c>
      <c r="B427" s="105" t="s">
        <v>699</v>
      </c>
      <c r="C427" s="37" t="s">
        <v>703</v>
      </c>
      <c r="D427" s="106">
        <v>2023</v>
      </c>
      <c r="E427" s="107" t="s">
        <v>694</v>
      </c>
      <c r="F427" s="110">
        <v>3427</v>
      </c>
      <c r="G427" s="135"/>
      <c r="H427" s="109" t="s">
        <v>164</v>
      </c>
    </row>
    <row r="428" spans="1:8" ht="19.899999999999999">
      <c r="A428" s="104" t="s">
        <v>66</v>
      </c>
      <c r="B428" s="105" t="s">
        <v>699</v>
      </c>
      <c r="C428" s="37" t="s">
        <v>704</v>
      </c>
      <c r="D428" s="106">
        <v>2024</v>
      </c>
      <c r="E428" s="107" t="s">
        <v>694</v>
      </c>
      <c r="F428" s="110">
        <v>2853</v>
      </c>
      <c r="G428" s="135"/>
      <c r="H428" s="109" t="s">
        <v>164</v>
      </c>
    </row>
    <row r="429" spans="1:8" ht="19.899999999999999">
      <c r="A429" s="104" t="s">
        <v>66</v>
      </c>
      <c r="B429" s="105" t="s">
        <v>705</v>
      </c>
      <c r="C429" s="37" t="s">
        <v>706</v>
      </c>
      <c r="D429" s="106">
        <v>2020</v>
      </c>
      <c r="E429" s="107" t="s">
        <v>694</v>
      </c>
      <c r="F429" s="110"/>
      <c r="G429" s="135"/>
      <c r="H429" s="109" t="s">
        <v>164</v>
      </c>
    </row>
    <row r="430" spans="1:8" ht="19.899999999999999">
      <c r="A430" s="104" t="s">
        <v>66</v>
      </c>
      <c r="B430" s="105" t="s">
        <v>705</v>
      </c>
      <c r="C430" s="37" t="s">
        <v>707</v>
      </c>
      <c r="D430" s="106">
        <v>2021</v>
      </c>
      <c r="E430" s="107" t="s">
        <v>694</v>
      </c>
      <c r="F430" s="110"/>
      <c r="G430" s="135"/>
      <c r="H430" s="109" t="s">
        <v>164</v>
      </c>
    </row>
    <row r="431" spans="1:8" ht="19.899999999999999">
      <c r="A431" s="104" t="s">
        <v>66</v>
      </c>
      <c r="B431" s="105" t="s">
        <v>705</v>
      </c>
      <c r="C431" s="37" t="s">
        <v>708</v>
      </c>
      <c r="D431" s="106">
        <v>2022</v>
      </c>
      <c r="E431" s="107" t="s">
        <v>694</v>
      </c>
      <c r="F431" s="110"/>
      <c r="G431" s="135"/>
      <c r="H431" s="109" t="s">
        <v>164</v>
      </c>
    </row>
    <row r="432" spans="1:8" ht="19.899999999999999">
      <c r="A432" s="104" t="s">
        <v>66</v>
      </c>
      <c r="B432" s="105" t="s">
        <v>705</v>
      </c>
      <c r="C432" s="37" t="s">
        <v>709</v>
      </c>
      <c r="D432" s="106">
        <v>2023</v>
      </c>
      <c r="E432" s="107" t="s">
        <v>694</v>
      </c>
      <c r="F432" s="110"/>
      <c r="G432" s="135"/>
      <c r="H432" s="109" t="s">
        <v>164</v>
      </c>
    </row>
    <row r="433" spans="1:8" ht="19.899999999999999">
      <c r="A433" s="121" t="s">
        <v>66</v>
      </c>
      <c r="B433" s="122" t="s">
        <v>705</v>
      </c>
      <c r="C433" s="82" t="s">
        <v>710</v>
      </c>
      <c r="D433" s="123">
        <v>2024</v>
      </c>
      <c r="E433" s="124" t="s">
        <v>694</v>
      </c>
      <c r="F433" s="148"/>
      <c r="G433" s="149"/>
      <c r="H433" s="126" t="s">
        <v>164</v>
      </c>
    </row>
  </sheetData>
  <autoFilter ref="A4:H433" xr:uid="{14D551AE-FBCF-49FB-B3C7-5BF1A9B769E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607EF-3322-4A52-B081-606972A68F6A}">
  <dimension ref="A1:Q60"/>
  <sheetViews>
    <sheetView showGridLines="0" tabSelected="1" zoomScaleNormal="100" workbookViewId="0">
      <selection activeCell="H45" sqref="H45"/>
    </sheetView>
  </sheetViews>
  <sheetFormatPr defaultColWidth="11.42578125" defaultRowHeight="14.45" outlineLevelCol="1"/>
  <cols>
    <col min="1" max="1" width="28.7109375" customWidth="1"/>
    <col min="2" max="2" width="52.28515625" customWidth="1"/>
    <col min="3" max="3" width="29.28515625" bestFit="1" customWidth="1"/>
    <col min="4" max="4" width="22.28515625" customWidth="1"/>
    <col min="5" max="5" width="35.7109375" customWidth="1"/>
    <col min="6" max="6" width="21.42578125" bestFit="1" customWidth="1"/>
    <col min="7" max="7" width="3.7109375" customWidth="1"/>
    <col min="8" max="17" width="11.5703125" customWidth="1" outlineLevel="1"/>
  </cols>
  <sheetData>
    <row r="1" spans="1:17" ht="16.899999999999999" customHeight="1">
      <c r="A1" s="9" t="s">
        <v>711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40.15" customHeight="1">
      <c r="A2" s="10" t="s">
        <v>712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6.149999999999999" customHeight="1">
      <c r="A3" s="11" t="s">
        <v>713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7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7" ht="22.15" customHeight="1">
      <c r="A5" s="12" t="s">
        <v>714</v>
      </c>
      <c r="B5" s="13" t="s">
        <v>434</v>
      </c>
      <c r="C5" s="13"/>
      <c r="D5" s="13"/>
      <c r="E5" s="13"/>
      <c r="F5" s="13"/>
      <c r="G5" s="2"/>
      <c r="H5" s="2"/>
      <c r="I5" s="2"/>
      <c r="J5" s="2"/>
      <c r="K5" s="2"/>
      <c r="L5" s="2"/>
      <c r="M5" s="2"/>
      <c r="N5" s="2"/>
    </row>
    <row r="6" spans="1:17" ht="22.15" customHeight="1" thickBot="1">
      <c r="A6" s="12" t="s">
        <v>715</v>
      </c>
      <c r="B6" s="14" t="s">
        <v>247</v>
      </c>
      <c r="C6" s="14"/>
      <c r="D6" s="14"/>
      <c r="E6" s="14"/>
      <c r="F6" s="14"/>
      <c r="G6" s="2"/>
      <c r="H6" s="2"/>
      <c r="I6" s="2"/>
      <c r="J6" s="2"/>
      <c r="K6" s="2"/>
      <c r="L6" s="2"/>
      <c r="M6" s="2"/>
      <c r="N6" s="2"/>
    </row>
    <row r="7" spans="1:17" ht="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7" ht="18" customHeight="1">
      <c r="A8" s="15"/>
      <c r="B8" s="15" t="s">
        <v>47</v>
      </c>
      <c r="C8" s="15" t="s">
        <v>97</v>
      </c>
      <c r="D8" s="15" t="s">
        <v>73</v>
      </c>
      <c r="E8" s="15" t="s">
        <v>99</v>
      </c>
      <c r="F8" s="15" t="s">
        <v>101</v>
      </c>
      <c r="G8" s="2"/>
      <c r="H8" s="2"/>
      <c r="I8" s="2"/>
      <c r="J8" s="2"/>
      <c r="K8" s="2"/>
      <c r="L8" s="2"/>
      <c r="M8" s="2"/>
      <c r="N8" s="2"/>
      <c r="P8" t="s">
        <v>99</v>
      </c>
      <c r="Q8" t="s">
        <v>716</v>
      </c>
    </row>
    <row r="9" spans="1:17" ht="16.149999999999999" customHeight="1">
      <c r="A9" s="9" t="s">
        <v>714</v>
      </c>
      <c r="B9" s="16" t="str">
        <f>IFERROR(INDEX('Base Nacional y Regiones'!$A$5:$A$433,MATCH($B$5,'Base Nacional y Regiones'!$D$5:$D$433,0)),"")</f>
        <v>Educación</v>
      </c>
      <c r="C9" s="16" t="str">
        <f>IFERROR(INDEX('Base Nacional y Regiones'!$B$5:$B$433,MATCH($B$5,'Base Nacional y Regiones'!$D$5:$D$433,0)),"")</f>
        <v>Educación superior</v>
      </c>
      <c r="D9" s="16">
        <f>IFERROR(IF(INDEX('Base Nacional y Regiones'!$E$5:$E$433,MATCH($B$5,'Base Nacional y Regiones'!$D$5:$D$433,0))=0,"",INDEX('Base Nacional y Regiones'!$E$5:$E$433,MATCH($B$5,'Base Nacional y Regiones'!$D$5:$D$433,0))),"")</f>
        <v>2021</v>
      </c>
      <c r="E9" s="16" t="str">
        <f>IFERROR(INDEX('Base Nacional y Regiones'!$F$5:$F$433,MATCH($B$5,'Base Nacional y Regiones'!$D$5:$D$433,0)),"")</f>
        <v>Personas</v>
      </c>
      <c r="F9" s="16" t="str">
        <f>IFERROR(INDEX('Base Nacional y Regiones'!$G$5:$G$433,MATCH($B$5,'Base Nacional y Regiones'!$D$5:$D$433,0)),"")</f>
        <v>Subse educ</v>
      </c>
      <c r="G9" s="2"/>
      <c r="H9" s="2"/>
      <c r="I9" s="2"/>
      <c r="J9" s="2"/>
      <c r="K9" s="2"/>
      <c r="L9" s="2"/>
      <c r="M9" s="2"/>
      <c r="N9" s="2" t="str">
        <f>IFERROR(_xlfn.XLOOKUP(E9,$P$9:$P$59,$Q$9:$Q$59,"#.##0,0"),"#.##0,0")</f>
        <v>#.##0</v>
      </c>
      <c r="P9" s="17" t="s">
        <v>113</v>
      </c>
      <c r="Q9" s="17" t="s">
        <v>717</v>
      </c>
    </row>
    <row r="10" spans="1:17" ht="16.149999999999999" customHeight="1">
      <c r="A10" s="9" t="s">
        <v>715</v>
      </c>
      <c r="B10" s="16" t="str">
        <f>IFERROR(INDEX('Base Nacional y Regiones'!$A$5:$A$433,MATCH($B$6,'Base Nacional y Regiones'!$D$5:$D$433,0)),"")</f>
        <v>Economía</v>
      </c>
      <c r="C10" s="16" t="str">
        <f>IFERROR(INDEX('Base Nacional y Regiones'!$B$5:$B$433,MATCH($B$6,'Base Nacional y Regiones'!$D$5:$D$433,0)),"")</f>
        <v>PIB por actividad económica (% del total regional)</v>
      </c>
      <c r="D10" s="16">
        <f>IFERROR(IF(INDEX('Base Nacional y Regiones'!$E$5:$E$433,MATCH($B$6,'Base Nacional y Regiones'!$D$5:$D$433,0))=0,"",INDEX('Base Nacional y Regiones'!$E$5:$E$433,MATCH($B$6,'Base Nacional y Regiones'!$D$5:$D$433,0))),"")</f>
        <v>2025</v>
      </c>
      <c r="E10" s="16" t="str">
        <f>IFERROR(INDEX('Base Nacional y Regiones'!$F$5:$F$433,MATCH($B$6,'Base Nacional y Regiones'!$D$5:$D$433,0)),"")</f>
        <v>%</v>
      </c>
      <c r="F10" s="16" t="str">
        <f>IFERROR(INDEX('Base Nacional y Regiones'!$G$5:$G$433,MATCH($B$6,'Base Nacional y Regiones'!$D$5:$D$433,0)),"")</f>
        <v>BC</v>
      </c>
      <c r="G10" s="2"/>
      <c r="H10" s="2"/>
      <c r="I10" s="2"/>
      <c r="J10" s="2"/>
      <c r="K10" s="2"/>
      <c r="L10" s="2"/>
      <c r="M10" s="2"/>
      <c r="N10" s="2" t="str">
        <f>IFERROR(_xlfn.XLOOKUP(E10,$P$9:$P$59,$Q$9:$Q$59,"#.##0,0"),"#.##0,0")</f>
        <v>0,0%</v>
      </c>
      <c r="P10" s="17" t="s">
        <v>352</v>
      </c>
      <c r="Q10" s="17" t="s">
        <v>717</v>
      </c>
    </row>
    <row r="11" spans="1:17" ht="6" customHeight="1">
      <c r="A11" s="2"/>
      <c r="B11" s="2"/>
      <c r="C11" s="2"/>
      <c r="D11" s="2"/>
      <c r="E11" s="2"/>
      <c r="F11" s="2"/>
      <c r="G11" s="2"/>
      <c r="H11" s="18" t="s">
        <v>67</v>
      </c>
      <c r="I11" s="19"/>
      <c r="J11" s="19"/>
      <c r="K11" s="19"/>
      <c r="L11" s="19"/>
      <c r="M11" s="19"/>
      <c r="N11" s="19"/>
      <c r="O11" s="20"/>
      <c r="P11" s="21" t="s">
        <v>346</v>
      </c>
      <c r="Q11" s="21" t="s">
        <v>717</v>
      </c>
    </row>
    <row r="12" spans="1:17" ht="24" customHeight="1">
      <c r="A12" s="22" t="s">
        <v>718</v>
      </c>
      <c r="B12" s="22" t="str">
        <f>B5</f>
        <v>Matrículas en educación superior (2021)</v>
      </c>
      <c r="C12" s="22" t="s">
        <v>719</v>
      </c>
      <c r="D12" s="22" t="s">
        <v>720</v>
      </c>
      <c r="E12" s="22" t="str">
        <f>B6</f>
        <v>PIB Servicios de vivienda e inmobiliarios: % del total regional (2025)</v>
      </c>
      <c r="F12" s="22" t="s">
        <v>719</v>
      </c>
      <c r="G12" s="2"/>
      <c r="H12" s="19" t="s">
        <v>718</v>
      </c>
      <c r="I12" s="19" t="s">
        <v>721</v>
      </c>
      <c r="J12" s="19" t="s">
        <v>722</v>
      </c>
      <c r="K12" s="19"/>
      <c r="L12" s="19" t="s">
        <v>723</v>
      </c>
      <c r="M12" s="19" t="s">
        <v>724</v>
      </c>
      <c r="N12" s="19"/>
      <c r="O12" s="20"/>
      <c r="P12" s="21" t="s">
        <v>331</v>
      </c>
      <c r="Q12" s="21" t="s">
        <v>717</v>
      </c>
    </row>
    <row r="13" spans="1:17" ht="16.899999999999999" customHeight="1">
      <c r="A13" s="23" t="s">
        <v>9</v>
      </c>
      <c r="B13" s="24" t="str">
        <f>IF(ISNUMBER(I13),TEXT(I13,$N$9),"s/i")</f>
        <v>27.088</v>
      </c>
      <c r="C13" s="25">
        <f>IF(ISNUMBER(I13),_xlfn.RANK.EQ(I13,INDEX('Base Nacional y Regiones'!$I$5:$X$433,MATCH($B$5,'Base Nacional y Regiones'!$D$5:$D$433,0),0),0),"")</f>
        <v>10</v>
      </c>
      <c r="D13" s="25" t="str">
        <f>IF(AND(ISNUMBER(I13),ISNUMBER($I$14)),TEXT(I13-$I$14,$N$9),"")</f>
        <v>-1.267.613</v>
      </c>
      <c r="E13" s="25" t="str">
        <f>IF(ISNUMBER(J13),TEXT(J13,$N$10),"s/i")</f>
        <v>8,9%</v>
      </c>
      <c r="F13" s="25">
        <f>IF(ISNUMBER(J13),_xlfn.RANK.EQ(J13,INDEX('Base Nacional y Regiones'!$I$5:$X$433,MATCH($B$6,'Base Nacional y Regiones'!$D$5:$D$433,0),0),0),"")</f>
        <v>9</v>
      </c>
      <c r="G13" s="2"/>
      <c r="H13" s="19" t="str">
        <f>A13</f>
        <v>O'Higgins</v>
      </c>
      <c r="I13" s="19">
        <f>IFERROR(IF(INDEX('Base Nacional y Regiones'!$I$5:$X$433,MATCH($B$5,'Base Nacional y Regiones'!$D$5:$D$433,0),MATCH($H13,'Base Nacional y Regiones'!$I$4:$X$4,0))="",NA(),INDEX('Base Nacional y Regiones'!$I$5:$X$433,MATCH($B$5,'Base Nacional y Regiones'!$D$5:$D$433,0),MATCH($H13,'Base Nacional y Regiones'!$I$4:$X$4,0))),NA())</f>
        <v>27088</v>
      </c>
      <c r="J13" s="19">
        <f>IFERROR(IF(INDEX('Base Nacional y Regiones'!$I$5:$X$433,MATCH($B$6,'Base Nacional y Regiones'!$D$5:$D$433,0),MATCH($H13,'Base Nacional y Regiones'!$I$4:$X$4,0))="",NA(),INDEX('Base Nacional y Regiones'!$I$5:$X$433,MATCH($B$6,'Base Nacional y Regiones'!$D$5:$D$433,0),MATCH($H13,'Base Nacional y Regiones'!$I$4:$X$4,0))),NA())</f>
        <v>8.9083927591881495E-2</v>
      </c>
      <c r="K13" s="19"/>
      <c r="L13" s="150">
        <f>IF(ISNUMBER(I13),ROUND(IF(AND(LEFT($E$9,1)="%",$E$9&lt;&gt;"% (0-100)"),I13*100,I13),2),NA())</f>
        <v>27088</v>
      </c>
      <c r="M13" s="150">
        <f>IF(ISNUMBER(J13),ROUND(IF(AND(LEFT($E$10,1)="%",$E$10&lt;&gt;"% (0-100)"),J13*100,J13),2),NA())</f>
        <v>8.91</v>
      </c>
      <c r="N13" s="19"/>
      <c r="O13" s="20"/>
      <c r="P13" s="21" t="s">
        <v>664</v>
      </c>
      <c r="Q13" s="21" t="s">
        <v>717</v>
      </c>
    </row>
    <row r="14" spans="1:17" ht="16.899999999999999" customHeight="1">
      <c r="A14" s="26" t="s">
        <v>100</v>
      </c>
      <c r="B14" s="27" t="str">
        <f>IF(ISNUMBER(I14),TEXT(I14,$N$9),"s/i")</f>
        <v>1.294.701</v>
      </c>
      <c r="C14" s="27"/>
      <c r="D14" s="27"/>
      <c r="E14" s="27" t="str">
        <f>IF(ISNUMBER(J14),TEXT(J14,$N$10),"s/i")</f>
        <v>8,5%</v>
      </c>
      <c r="F14" s="27"/>
      <c r="G14" s="2"/>
      <c r="H14" s="19" t="str">
        <f>A14</f>
        <v>Total nacional</v>
      </c>
      <c r="I14" s="19">
        <f>IFERROR(IF(INDEX('Base Nacional y Regiones'!$H$5:$H$433,MATCH($B$5,'Base Nacional y Regiones'!$D$5:$D$433,0))="",NA(),INDEX('Base Nacional y Regiones'!$H$5:$H$433,MATCH($B$5,'Base Nacional y Regiones'!$D$5:$D$433,0))),NA())</f>
        <v>1294701</v>
      </c>
      <c r="J14" s="19">
        <f>IFERROR(IF(INDEX('Base Nacional y Regiones'!$H$5:$H$433,MATCH($B$6,'Base Nacional y Regiones'!$D$5:$D$433,0))="",NA(),INDEX('Base Nacional y Regiones'!$H$5:$H$433,MATCH($B$6,'Base Nacional y Regiones'!$D$5:$D$433,0))),NA())</f>
        <v>8.4938730566022497E-2</v>
      </c>
      <c r="K14" s="19"/>
      <c r="L14" s="150">
        <f>IF(ISNUMBER(I14),ROUND(IF(AND(LEFT($E$9,1)="%",$E$9&lt;&gt;"% (0-100)"),I14*100,I14),2),NA())</f>
        <v>1294701</v>
      </c>
      <c r="M14" s="150">
        <f>IF(ISNUMBER(J14),ROUND(IF(AND(LEFT($E$10,1)="%",$E$10&lt;&gt;"% (0-100)"),J14*100,J14),2),NA())</f>
        <v>8.49</v>
      </c>
      <c r="N14" s="19"/>
      <c r="O14" s="20"/>
      <c r="P14" s="21" t="s">
        <v>268</v>
      </c>
      <c r="Q14" s="21" t="s">
        <v>725</v>
      </c>
    </row>
    <row r="15" spans="1:17" ht="16.899999999999999" customHeight="1">
      <c r="A15" s="2"/>
      <c r="B15" s="2"/>
      <c r="C15" s="2"/>
      <c r="D15" s="2"/>
      <c r="E15" s="2"/>
      <c r="F15" s="2"/>
      <c r="G15" s="2"/>
      <c r="H15" s="19"/>
      <c r="I15" s="19"/>
      <c r="J15" s="19"/>
      <c r="K15" s="19"/>
      <c r="L15" s="19"/>
      <c r="M15" s="19"/>
      <c r="N15" s="19"/>
      <c r="O15" s="20"/>
      <c r="P15" s="21" t="s">
        <v>364</v>
      </c>
      <c r="Q15" s="21" t="s">
        <v>726</v>
      </c>
    </row>
    <row r="16" spans="1:17" ht="19.899999999999999" customHeight="1">
      <c r="A16" s="28" t="str">
        <f>"Gráfico 1 · "&amp;$B$5&amp;" · O'Higgins vs. total nacional · unidad: "&amp;$E$9&amp;IF(ISNUMBER($I$14),""," · sin dato nacional")</f>
        <v>Gráfico 1 · Matrículas en educación superior (2021) · O'Higgins vs. total nacional · unidad: Personas</v>
      </c>
      <c r="B16" s="2"/>
      <c r="C16" s="2"/>
      <c r="D16" s="2"/>
      <c r="E16" s="2"/>
      <c r="F16" s="2"/>
      <c r="G16" s="2"/>
      <c r="H16" s="19"/>
      <c r="I16" s="19"/>
      <c r="J16" s="19"/>
      <c r="K16" s="19"/>
      <c r="L16" s="19"/>
      <c r="M16" s="19"/>
      <c r="N16" s="19"/>
      <c r="O16" s="20"/>
      <c r="P16" s="21" t="s">
        <v>110</v>
      </c>
      <c r="Q16" s="21" t="s">
        <v>727</v>
      </c>
    </row>
    <row r="17" spans="1:17" ht="16.899999999999999" customHeight="1">
      <c r="A17" s="2"/>
      <c r="B17" s="2"/>
      <c r="C17" s="2"/>
      <c r="D17" s="2"/>
      <c r="E17" s="2"/>
      <c r="F17" s="2"/>
      <c r="G17" s="2"/>
      <c r="H17" s="19"/>
      <c r="I17" s="19"/>
      <c r="J17" s="19"/>
      <c r="K17" s="19"/>
      <c r="L17" s="19"/>
      <c r="M17" s="19"/>
      <c r="N17" s="19"/>
      <c r="O17" s="20"/>
      <c r="P17" s="21" t="s">
        <v>162</v>
      </c>
      <c r="Q17" s="21" t="s">
        <v>727</v>
      </c>
    </row>
    <row r="18" spans="1:17" ht="16.899999999999999" customHeight="1">
      <c r="A18" s="2"/>
      <c r="B18" s="2"/>
      <c r="C18" s="2"/>
      <c r="D18" s="2"/>
      <c r="E18" s="2"/>
      <c r="F18" s="2"/>
      <c r="G18" s="2"/>
      <c r="H18" s="19"/>
      <c r="I18" s="19"/>
      <c r="J18" s="19"/>
      <c r="K18" s="19"/>
      <c r="L18" s="19"/>
      <c r="M18" s="19"/>
      <c r="N18" s="19"/>
      <c r="O18" s="20"/>
      <c r="P18" s="21" t="s">
        <v>175</v>
      </c>
      <c r="Q18" s="21" t="s">
        <v>727</v>
      </c>
    </row>
    <row r="19" spans="1:17" ht="16.899999999999999" customHeight="1">
      <c r="A19" s="2"/>
      <c r="B19" s="2"/>
      <c r="C19" s="2"/>
      <c r="D19" s="2"/>
      <c r="E19" s="2"/>
      <c r="F19" s="2"/>
      <c r="G19" s="2"/>
      <c r="H19" s="19"/>
      <c r="I19" s="19"/>
      <c r="J19" s="19"/>
      <c r="K19" s="19"/>
      <c r="L19" s="19"/>
      <c r="M19" s="19"/>
      <c r="N19" s="19"/>
      <c r="O19" s="20"/>
      <c r="P19" s="21" t="s">
        <v>187</v>
      </c>
      <c r="Q19" s="21" t="s">
        <v>727</v>
      </c>
    </row>
    <row r="20" spans="1:17" ht="16.899999999999999" customHeight="1">
      <c r="A20" s="2"/>
      <c r="B20" s="2"/>
      <c r="C20" s="2"/>
      <c r="D20" s="2"/>
      <c r="E20" s="2"/>
      <c r="F20" s="2"/>
      <c r="G20" s="2"/>
      <c r="H20" s="19"/>
      <c r="I20" s="19"/>
      <c r="J20" s="19"/>
      <c r="K20" s="19"/>
      <c r="L20" s="19"/>
      <c r="M20" s="19"/>
      <c r="N20" s="19"/>
      <c r="O20" s="20"/>
      <c r="P20" s="21" t="s">
        <v>189</v>
      </c>
      <c r="Q20" s="21" t="s">
        <v>727</v>
      </c>
    </row>
    <row r="21" spans="1:17" ht="16.899999999999999" customHeight="1">
      <c r="A21" s="2"/>
      <c r="B21" s="2"/>
      <c r="C21" s="2"/>
      <c r="D21" s="2"/>
      <c r="E21" s="2"/>
      <c r="F21" s="2"/>
      <c r="G21" s="2"/>
      <c r="H21" s="19"/>
      <c r="I21" s="19"/>
      <c r="J21" s="19"/>
      <c r="K21" s="19"/>
      <c r="L21" s="19"/>
      <c r="M21" s="19"/>
      <c r="N21" s="19"/>
      <c r="O21" s="20"/>
      <c r="P21" s="21" t="s">
        <v>191</v>
      </c>
      <c r="Q21" s="21" t="s">
        <v>727</v>
      </c>
    </row>
    <row r="22" spans="1:17" ht="16.899999999999999" customHeight="1">
      <c r="A22" s="2"/>
      <c r="B22" s="2"/>
      <c r="C22" s="2"/>
      <c r="D22" s="2"/>
      <c r="E22" s="2"/>
      <c r="F22" s="2"/>
      <c r="G22" s="2"/>
      <c r="H22" s="19"/>
      <c r="I22" s="19"/>
      <c r="J22" s="19"/>
      <c r="K22" s="19"/>
      <c r="L22" s="19"/>
      <c r="M22" s="19"/>
      <c r="N22" s="19"/>
      <c r="O22" s="20"/>
      <c r="P22" s="21" t="s">
        <v>373</v>
      </c>
      <c r="Q22" s="21" t="s">
        <v>727</v>
      </c>
    </row>
    <row r="23" spans="1:17" ht="16.899999999999999" customHeight="1">
      <c r="A23" s="2"/>
      <c r="B23" s="2"/>
      <c r="C23" s="2"/>
      <c r="D23" s="2"/>
      <c r="E23" s="2"/>
      <c r="F23" s="2"/>
      <c r="G23" s="2"/>
      <c r="H23" s="19"/>
      <c r="I23" s="19"/>
      <c r="J23" s="19"/>
      <c r="K23" s="19"/>
      <c r="L23" s="19"/>
      <c r="M23" s="19"/>
      <c r="N23" s="19"/>
      <c r="O23" s="20"/>
      <c r="P23" s="21" t="s">
        <v>383</v>
      </c>
      <c r="Q23" s="21" t="s">
        <v>727</v>
      </c>
    </row>
    <row r="24" spans="1:17" ht="16.899999999999999" customHeight="1">
      <c r="A24" s="2"/>
      <c r="B24" s="2"/>
      <c r="C24" s="2"/>
      <c r="D24" s="2"/>
      <c r="E24" s="2"/>
      <c r="F24" s="2"/>
      <c r="G24" s="2"/>
      <c r="H24" s="19"/>
      <c r="I24" s="19"/>
      <c r="J24" s="19"/>
      <c r="K24" s="19"/>
      <c r="L24" s="19"/>
      <c r="M24" s="19"/>
      <c r="N24" s="19"/>
      <c r="O24" s="20"/>
      <c r="P24" s="21" t="s">
        <v>62</v>
      </c>
      <c r="Q24" s="21" t="s">
        <v>727</v>
      </c>
    </row>
    <row r="25" spans="1:17" ht="16.899999999999999" customHeight="1">
      <c r="A25" s="2"/>
      <c r="B25" s="2"/>
      <c r="C25" s="2"/>
      <c r="D25" s="2"/>
      <c r="E25" s="2"/>
      <c r="F25" s="2"/>
      <c r="G25" s="2"/>
      <c r="H25" s="19"/>
      <c r="I25" s="19"/>
      <c r="J25" s="19"/>
      <c r="K25" s="19"/>
      <c r="L25" s="19"/>
      <c r="M25" s="19"/>
      <c r="N25" s="19"/>
      <c r="O25" s="20"/>
      <c r="P25" s="21" t="s">
        <v>694</v>
      </c>
      <c r="Q25" s="21" t="s">
        <v>727</v>
      </c>
    </row>
    <row r="26" spans="1:17" ht="16.899999999999999" customHeight="1">
      <c r="A26" s="2"/>
      <c r="B26" s="2"/>
      <c r="C26" s="2"/>
      <c r="D26" s="2"/>
      <c r="E26" s="2"/>
      <c r="F26" s="2"/>
      <c r="G26" s="2"/>
      <c r="H26" s="19"/>
      <c r="I26" s="19"/>
      <c r="J26" s="19"/>
      <c r="K26" s="19"/>
      <c r="L26" s="19"/>
      <c r="M26" s="19"/>
      <c r="N26" s="19"/>
      <c r="O26" s="20"/>
      <c r="P26" s="21" t="s">
        <v>570</v>
      </c>
      <c r="Q26" s="21" t="s">
        <v>727</v>
      </c>
    </row>
    <row r="27" spans="1:17" ht="16.899999999999999" customHeight="1">
      <c r="A27" s="2"/>
      <c r="B27" s="2"/>
      <c r="C27" s="2"/>
      <c r="D27" s="2"/>
      <c r="E27" s="2"/>
      <c r="F27" s="2"/>
      <c r="G27" s="2"/>
      <c r="H27" s="19"/>
      <c r="I27" s="19"/>
      <c r="J27" s="19"/>
      <c r="K27" s="19"/>
      <c r="L27" s="19"/>
      <c r="M27" s="19"/>
      <c r="N27" s="19"/>
      <c r="O27" s="20"/>
      <c r="P27" s="21" t="s">
        <v>578</v>
      </c>
      <c r="Q27" s="21" t="s">
        <v>727</v>
      </c>
    </row>
    <row r="28" spans="1:17" ht="16.899999999999999" customHeight="1">
      <c r="A28" s="2"/>
      <c r="B28" s="2"/>
      <c r="C28" s="2"/>
      <c r="D28" s="2"/>
      <c r="E28" s="2"/>
      <c r="F28" s="2"/>
      <c r="G28" s="2"/>
      <c r="H28" s="19"/>
      <c r="I28" s="19"/>
      <c r="J28" s="19"/>
      <c r="K28" s="19"/>
      <c r="L28" s="19"/>
      <c r="M28" s="19"/>
      <c r="N28" s="19"/>
      <c r="O28" s="20"/>
      <c r="P28" s="21" t="s">
        <v>592</v>
      </c>
      <c r="Q28" s="21" t="s">
        <v>727</v>
      </c>
    </row>
    <row r="29" spans="1:17" ht="16.899999999999999" customHeight="1">
      <c r="A29" s="2"/>
      <c r="B29" s="2"/>
      <c r="C29" s="2"/>
      <c r="D29" s="2"/>
      <c r="E29" s="2"/>
      <c r="F29" s="2"/>
      <c r="G29" s="2"/>
      <c r="H29" s="19"/>
      <c r="I29" s="19"/>
      <c r="J29" s="19"/>
      <c r="K29" s="19"/>
      <c r="L29" s="19"/>
      <c r="M29" s="19"/>
      <c r="N29" s="19"/>
      <c r="O29" s="20"/>
      <c r="P29" s="21" t="s">
        <v>252</v>
      </c>
      <c r="Q29" s="21" t="s">
        <v>728</v>
      </c>
    </row>
    <row r="30" spans="1:17" ht="18" customHeight="1">
      <c r="A30" s="2"/>
      <c r="B30" s="2"/>
      <c r="C30" s="2"/>
      <c r="D30" s="2"/>
      <c r="E30" s="2"/>
      <c r="F30" s="2"/>
      <c r="G30" s="2"/>
      <c r="H30" s="19"/>
      <c r="I30" s="19"/>
      <c r="J30" s="19"/>
      <c r="K30" s="19"/>
      <c r="L30" s="19"/>
      <c r="M30" s="19"/>
      <c r="N30" s="19"/>
      <c r="O30" s="20"/>
      <c r="P30" s="21" t="s">
        <v>285</v>
      </c>
      <c r="Q30" s="21" t="s">
        <v>728</v>
      </c>
    </row>
    <row r="31" spans="1:17" ht="18">
      <c r="A31" s="2"/>
      <c r="B31" s="2"/>
      <c r="C31" s="2"/>
      <c r="D31" s="2"/>
      <c r="E31" s="2"/>
      <c r="F31" s="2"/>
      <c r="G31" s="2"/>
      <c r="H31" s="19"/>
      <c r="I31" s="19"/>
      <c r="J31" s="19"/>
      <c r="K31" s="19"/>
      <c r="L31" s="19"/>
      <c r="M31" s="19"/>
      <c r="N31" s="19"/>
      <c r="O31" s="20"/>
      <c r="P31" s="21" t="s">
        <v>679</v>
      </c>
      <c r="Q31" s="21" t="s">
        <v>728</v>
      </c>
    </row>
    <row r="32" spans="1:17" ht="18">
      <c r="A32" s="2"/>
      <c r="B32" s="2"/>
      <c r="C32" s="2"/>
      <c r="D32" s="2"/>
      <c r="E32" s="2"/>
      <c r="F32" s="2"/>
      <c r="G32" s="2"/>
      <c r="H32" s="19"/>
      <c r="I32" s="19"/>
      <c r="J32" s="19"/>
      <c r="K32" s="19"/>
      <c r="L32" s="19"/>
      <c r="M32" s="19"/>
      <c r="N32" s="19"/>
      <c r="O32" s="20"/>
      <c r="P32" s="21" t="s">
        <v>263</v>
      </c>
      <c r="Q32" s="21" t="s">
        <v>729</v>
      </c>
    </row>
    <row r="33" spans="1:17" ht="18">
      <c r="A33" s="2"/>
      <c r="B33" s="2"/>
      <c r="C33" s="2"/>
      <c r="D33" s="2"/>
      <c r="E33" s="2"/>
      <c r="F33" s="2"/>
      <c r="G33" s="2"/>
      <c r="H33" s="19"/>
      <c r="I33" s="19"/>
      <c r="J33" s="19"/>
      <c r="K33" s="19"/>
      <c r="L33" s="19"/>
      <c r="M33" s="19"/>
      <c r="N33" s="19"/>
      <c r="O33" s="20"/>
      <c r="P33" s="21" t="s">
        <v>221</v>
      </c>
      <c r="Q33" s="21" t="s">
        <v>728</v>
      </c>
    </row>
    <row r="34" spans="1:17" ht="18">
      <c r="A34" s="2"/>
      <c r="B34" s="2"/>
      <c r="C34" s="2"/>
      <c r="D34" s="2"/>
      <c r="E34" s="2"/>
      <c r="F34" s="2"/>
      <c r="G34" s="2"/>
      <c r="H34" s="19"/>
      <c r="I34" s="19"/>
      <c r="J34" s="19"/>
      <c r="K34" s="19"/>
      <c r="L34" s="19"/>
      <c r="M34" s="19"/>
      <c r="N34" s="19"/>
      <c r="O34" s="20"/>
      <c r="P34" s="21" t="s">
        <v>674</v>
      </c>
      <c r="Q34" s="21" t="s">
        <v>727</v>
      </c>
    </row>
    <row r="35" spans="1:17" ht="18">
      <c r="A35" s="2"/>
      <c r="B35" s="2"/>
      <c r="C35" s="2"/>
      <c r="D35" s="2"/>
      <c r="E35" s="2"/>
      <c r="F35" s="2"/>
      <c r="G35" s="2"/>
      <c r="H35" s="19"/>
      <c r="I35" s="19"/>
      <c r="J35" s="19"/>
      <c r="K35" s="19"/>
      <c r="L35" s="19"/>
      <c r="M35" s="19"/>
      <c r="N35" s="19"/>
      <c r="O35" s="20"/>
      <c r="P35" s="21" t="s">
        <v>559</v>
      </c>
      <c r="Q35" s="21" t="s">
        <v>727</v>
      </c>
    </row>
    <row r="36" spans="1:17" ht="18">
      <c r="A36" s="2"/>
      <c r="B36" s="2"/>
      <c r="C36" s="2"/>
      <c r="D36" s="2"/>
      <c r="E36" s="2"/>
      <c r="F36" s="2"/>
      <c r="G36" s="2"/>
      <c r="H36" s="19"/>
      <c r="I36" s="19"/>
      <c r="J36" s="19"/>
      <c r="K36" s="19"/>
      <c r="L36" s="19"/>
      <c r="M36" s="19"/>
      <c r="N36" s="19"/>
      <c r="O36" s="20"/>
      <c r="P36" s="21" t="s">
        <v>445</v>
      </c>
      <c r="Q36" s="21" t="s">
        <v>727</v>
      </c>
    </row>
    <row r="37" spans="1:17" ht="18">
      <c r="A37" s="2"/>
      <c r="B37" s="2"/>
      <c r="C37" s="2"/>
      <c r="D37" s="2"/>
      <c r="E37" s="2"/>
      <c r="F37" s="2"/>
      <c r="G37" s="2"/>
      <c r="H37" s="19"/>
      <c r="I37" s="19"/>
      <c r="J37" s="19"/>
      <c r="K37" s="19"/>
      <c r="L37" s="19"/>
      <c r="M37" s="19"/>
      <c r="N37" s="19"/>
      <c r="O37" s="20"/>
      <c r="P37" s="21" t="s">
        <v>378</v>
      </c>
      <c r="Q37" s="21" t="s">
        <v>727</v>
      </c>
    </row>
    <row r="38" spans="1:17" ht="28.15" customHeight="1">
      <c r="A38" s="28" t="str">
        <f>"Gráfico 2 · "&amp;$B$6&amp;" · O'Higgins vs. total nacional · unidad: "&amp;$E$10&amp;IF(ISNUMBER($J$14),""," · sin dato nacional")</f>
        <v>Gráfico 2 · PIB Servicios de vivienda e inmobiliarios: % del total regional (2025) · O'Higgins vs. total nacional · unidad: %</v>
      </c>
      <c r="B38" s="2"/>
      <c r="C38" s="2"/>
      <c r="D38" s="2"/>
      <c r="E38" s="2"/>
      <c r="F38" s="2"/>
      <c r="G38" s="2"/>
      <c r="H38" s="19"/>
      <c r="I38" s="19"/>
      <c r="J38" s="19"/>
      <c r="K38" s="19"/>
      <c r="L38" s="19"/>
      <c r="M38" s="19"/>
      <c r="N38" s="19"/>
      <c r="O38" s="20"/>
      <c r="P38" s="21" t="s">
        <v>409</v>
      </c>
      <c r="Q38" s="21" t="s">
        <v>727</v>
      </c>
    </row>
    <row r="39" spans="1:17" ht="18">
      <c r="A39" s="2"/>
      <c r="B39" s="2"/>
      <c r="C39" s="2"/>
      <c r="D39" s="2"/>
      <c r="E39" s="2"/>
      <c r="F39" s="2"/>
      <c r="G39" s="2"/>
      <c r="H39" s="19"/>
      <c r="I39" s="19"/>
      <c r="J39" s="19"/>
      <c r="K39" s="19"/>
      <c r="L39" s="19"/>
      <c r="M39" s="19"/>
      <c r="N39" s="19"/>
      <c r="O39" s="20"/>
      <c r="P39" s="21" t="s">
        <v>322</v>
      </c>
      <c r="Q39" s="21" t="s">
        <v>727</v>
      </c>
    </row>
    <row r="40" spans="1:17" ht="18">
      <c r="A40" s="2"/>
      <c r="B40" s="2"/>
      <c r="C40" s="2"/>
      <c r="D40" s="2"/>
      <c r="E40" s="2"/>
      <c r="F40" s="2"/>
      <c r="G40" s="2"/>
      <c r="H40" s="19"/>
      <c r="I40" s="19"/>
      <c r="J40" s="19"/>
      <c r="K40" s="19"/>
      <c r="L40" s="19"/>
      <c r="M40" s="19"/>
      <c r="N40" s="19"/>
      <c r="O40" s="20"/>
      <c r="P40" s="21" t="s">
        <v>334</v>
      </c>
      <c r="Q40" s="21" t="s">
        <v>727</v>
      </c>
    </row>
    <row r="41" spans="1:17" ht="18">
      <c r="A41" s="2"/>
      <c r="B41" s="2"/>
      <c r="C41" s="2"/>
      <c r="D41" s="2"/>
      <c r="E41" s="2"/>
      <c r="F41" s="2"/>
      <c r="G41" s="2"/>
      <c r="H41" s="19"/>
      <c r="I41" s="19"/>
      <c r="J41" s="19"/>
      <c r="K41" s="19"/>
      <c r="L41" s="19"/>
      <c r="M41" s="19"/>
      <c r="N41" s="19"/>
      <c r="O41" s="20"/>
      <c r="P41" s="21" t="s">
        <v>134</v>
      </c>
      <c r="Q41" s="21" t="s">
        <v>725</v>
      </c>
    </row>
    <row r="42" spans="1:17" ht="18">
      <c r="A42" s="2"/>
      <c r="B42" s="2"/>
      <c r="C42" s="2"/>
      <c r="D42" s="2"/>
      <c r="E42" s="2"/>
      <c r="F42" s="2"/>
      <c r="G42" s="2"/>
      <c r="H42" s="19"/>
      <c r="I42" s="19"/>
      <c r="J42" s="19"/>
      <c r="K42" s="19"/>
      <c r="L42" s="19"/>
      <c r="M42" s="19"/>
      <c r="N42" s="19"/>
      <c r="O42" s="20"/>
      <c r="P42" s="21" t="s">
        <v>121</v>
      </c>
      <c r="Q42" s="21" t="s">
        <v>730</v>
      </c>
    </row>
    <row r="43" spans="1:17" ht="18">
      <c r="A43" s="2"/>
      <c r="B43" s="2"/>
      <c r="C43" s="2"/>
      <c r="D43" s="2"/>
      <c r="E43" s="2"/>
      <c r="F43" s="2"/>
      <c r="G43" s="2"/>
      <c r="H43" s="19"/>
      <c r="I43" s="19"/>
      <c r="J43" s="19"/>
      <c r="K43" s="19"/>
      <c r="L43" s="19"/>
      <c r="M43" s="19"/>
      <c r="N43" s="19"/>
      <c r="O43" s="20"/>
      <c r="P43" s="21" t="s">
        <v>598</v>
      </c>
      <c r="Q43" s="21" t="s">
        <v>731</v>
      </c>
    </row>
    <row r="44" spans="1:17" ht="18">
      <c r="A44" s="2"/>
      <c r="B44" s="2"/>
      <c r="C44" s="2"/>
      <c r="D44" s="2"/>
      <c r="E44" s="2"/>
      <c r="F44" s="2"/>
      <c r="G44" s="2"/>
      <c r="H44" s="19"/>
      <c r="I44" s="19"/>
      <c r="J44" s="19"/>
      <c r="K44" s="19"/>
      <c r="L44" s="19"/>
      <c r="M44" s="19"/>
      <c r="N44" s="19"/>
      <c r="O44" s="20"/>
      <c r="P44" s="21" t="s">
        <v>645</v>
      </c>
      <c r="Q44" s="21" t="s">
        <v>731</v>
      </c>
    </row>
    <row r="45" spans="1:17" ht="18">
      <c r="A45" s="2"/>
      <c r="B45" s="2"/>
      <c r="C45" s="2"/>
      <c r="D45" s="2"/>
      <c r="E45" s="2"/>
      <c r="F45" s="2"/>
      <c r="G45" s="2"/>
      <c r="H45" s="19"/>
      <c r="I45" s="19"/>
      <c r="J45" s="19"/>
      <c r="K45" s="19"/>
      <c r="L45" s="19"/>
      <c r="M45" s="19"/>
      <c r="N45" s="19"/>
      <c r="O45" s="20"/>
      <c r="P45" s="21" t="s">
        <v>631</v>
      </c>
      <c r="Q45" s="21" t="s">
        <v>725</v>
      </c>
    </row>
    <row r="46" spans="1:17" ht="18">
      <c r="A46" s="2"/>
      <c r="B46" s="2"/>
      <c r="C46" s="2"/>
      <c r="D46" s="2"/>
      <c r="E46" s="2"/>
      <c r="F46" s="2"/>
      <c r="G46" s="2"/>
      <c r="H46" s="19"/>
      <c r="I46" s="19"/>
      <c r="J46" s="19"/>
      <c r="K46" s="19"/>
      <c r="L46" s="19"/>
      <c r="M46" s="19"/>
      <c r="N46" s="19"/>
      <c r="O46" s="20"/>
      <c r="P46" s="21" t="s">
        <v>206</v>
      </c>
      <c r="Q46" s="21" t="s">
        <v>731</v>
      </c>
    </row>
    <row r="47" spans="1:17" ht="18">
      <c r="A47" s="2"/>
      <c r="B47" s="2"/>
      <c r="C47" s="2"/>
      <c r="D47" s="2"/>
      <c r="E47" s="2"/>
      <c r="F47" s="2"/>
      <c r="G47" s="2"/>
      <c r="H47" s="19"/>
      <c r="I47" s="19"/>
      <c r="J47" s="19"/>
      <c r="K47" s="19"/>
      <c r="L47" s="19"/>
      <c r="M47" s="19"/>
      <c r="N47" s="19"/>
      <c r="O47" s="20"/>
      <c r="P47" s="21" t="s">
        <v>205</v>
      </c>
      <c r="Q47" s="21" t="s">
        <v>725</v>
      </c>
    </row>
    <row r="48" spans="1:17" ht="18">
      <c r="A48" s="2"/>
      <c r="B48" s="2"/>
      <c r="C48" s="2"/>
      <c r="D48" s="2"/>
      <c r="E48" s="2"/>
      <c r="F48" s="2"/>
      <c r="G48" s="2"/>
      <c r="H48" s="19"/>
      <c r="I48" s="19"/>
      <c r="J48" s="19"/>
      <c r="K48" s="19"/>
      <c r="L48" s="19"/>
      <c r="M48" s="19"/>
      <c r="N48" s="19"/>
      <c r="O48" s="20"/>
      <c r="P48" s="21" t="s">
        <v>310</v>
      </c>
      <c r="Q48" s="21" t="s">
        <v>725</v>
      </c>
    </row>
    <row r="49" spans="1:17" ht="18">
      <c r="A49" s="2"/>
      <c r="B49" s="2"/>
      <c r="C49" s="2"/>
      <c r="D49" s="2"/>
      <c r="E49" s="2"/>
      <c r="F49" s="2"/>
      <c r="G49" s="2"/>
      <c r="H49" s="19"/>
      <c r="I49" s="19"/>
      <c r="J49" s="19"/>
      <c r="K49" s="19"/>
      <c r="L49" s="19"/>
      <c r="M49" s="19"/>
      <c r="N49" s="19"/>
      <c r="O49" s="20"/>
      <c r="P49" s="21" t="s">
        <v>325</v>
      </c>
      <c r="Q49" s="21" t="s">
        <v>725</v>
      </c>
    </row>
    <row r="50" spans="1:17" ht="18" customHeight="1">
      <c r="A50" s="2"/>
      <c r="B50" s="2"/>
      <c r="C50" s="2"/>
      <c r="D50" s="2"/>
      <c r="E50" s="2"/>
      <c r="F50" s="2"/>
      <c r="G50" s="2"/>
      <c r="H50" s="19"/>
      <c r="I50" s="19"/>
      <c r="J50" s="19"/>
      <c r="K50" s="19"/>
      <c r="L50" s="19"/>
      <c r="M50" s="19"/>
      <c r="N50" s="19"/>
      <c r="O50" s="20"/>
      <c r="P50" s="21" t="s">
        <v>440</v>
      </c>
      <c r="Q50" s="21" t="s">
        <v>730</v>
      </c>
    </row>
    <row r="51" spans="1:17" ht="18">
      <c r="A51" s="2"/>
      <c r="B51" s="2"/>
      <c r="C51" s="2"/>
      <c r="D51" s="2"/>
      <c r="E51" s="2"/>
      <c r="F51" s="2"/>
      <c r="G51" s="2"/>
      <c r="H51" s="19"/>
      <c r="I51" s="19"/>
      <c r="J51" s="19"/>
      <c r="K51" s="19"/>
      <c r="L51" s="19"/>
      <c r="M51" s="19"/>
      <c r="N51" s="19"/>
      <c r="O51" s="20"/>
      <c r="P51" s="21" t="s">
        <v>449</v>
      </c>
      <c r="Q51" s="21" t="s">
        <v>727</v>
      </c>
    </row>
    <row r="52" spans="1:17" ht="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P52" s="21" t="s">
        <v>454</v>
      </c>
      <c r="Q52" s="21" t="s">
        <v>725</v>
      </c>
    </row>
    <row r="53" spans="1:17" ht="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P53" s="21" t="s">
        <v>456</v>
      </c>
      <c r="Q53" s="21" t="s">
        <v>725</v>
      </c>
    </row>
    <row r="54" spans="1:17" ht="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P54" s="21" t="s">
        <v>459</v>
      </c>
      <c r="Q54" s="21" t="s">
        <v>727</v>
      </c>
    </row>
    <row r="55" spans="1:17" ht="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P55" s="21" t="s">
        <v>462</v>
      </c>
      <c r="Q55" s="21" t="s">
        <v>725</v>
      </c>
    </row>
    <row r="56" spans="1:17" ht="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P56" s="21" t="s">
        <v>466</v>
      </c>
      <c r="Q56" s="21" t="s">
        <v>731</v>
      </c>
    </row>
    <row r="57" spans="1:17" ht="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P57" s="21" t="s">
        <v>689</v>
      </c>
      <c r="Q57" s="21" t="s">
        <v>728</v>
      </c>
    </row>
    <row r="58" spans="1:17" ht="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P58" s="21" t="s">
        <v>218</v>
      </c>
      <c r="Q58" s="21" t="s">
        <v>725</v>
      </c>
    </row>
    <row r="59" spans="1:17" ht="1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P59" s="21" t="s">
        <v>104</v>
      </c>
      <c r="Q59" s="21" t="s">
        <v>732</v>
      </c>
    </row>
    <row r="60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E50599-1BB9-4435-9813-046FCC65223E}">
          <x14:formula1>
            <xm:f>'Base Nacional y Regiones'!$D$5:$D$433</xm:f>
          </x14:formula1>
          <xm:sqref>B5:B6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2A27-B4F7-474D-955B-0F87BB466F83}">
  <dimension ref="A1:N90"/>
  <sheetViews>
    <sheetView showGridLines="0" topLeftCell="A15" workbookViewId="0">
      <selection activeCell="E26" sqref="E26"/>
    </sheetView>
  </sheetViews>
  <sheetFormatPr defaultColWidth="11.42578125" defaultRowHeight="14.45"/>
  <cols>
    <col min="1" max="2" width="21.28515625" customWidth="1"/>
    <col min="3" max="3" width="25.140625" bestFit="1" customWidth="1"/>
    <col min="4" max="4" width="21.28515625" customWidth="1"/>
    <col min="5" max="5" width="28.28515625" bestFit="1" customWidth="1"/>
    <col min="6" max="8" width="21.28515625" customWidth="1"/>
    <col min="9" max="10" width="3.7109375" customWidth="1"/>
  </cols>
  <sheetData>
    <row r="1" spans="1:14" ht="16.899999999999999" customHeight="1">
      <c r="A1" s="9" t="s">
        <v>733</v>
      </c>
      <c r="B1" s="2"/>
      <c r="C1" s="2"/>
      <c r="D1" s="2"/>
      <c r="E1" s="2"/>
      <c r="F1" s="2"/>
      <c r="G1" s="2"/>
      <c r="H1" s="2"/>
      <c r="I1" s="2"/>
      <c r="J1" s="2"/>
      <c r="L1" s="88" t="s">
        <v>67</v>
      </c>
      <c r="M1" s="88"/>
      <c r="N1" s="88"/>
    </row>
    <row r="2" spans="1:14" ht="42" customHeight="1">
      <c r="A2" s="180" t="s">
        <v>734</v>
      </c>
      <c r="B2" s="180"/>
      <c r="C2" s="2"/>
      <c r="D2" s="2"/>
      <c r="E2" s="2"/>
      <c r="F2" s="2"/>
      <c r="G2" s="2"/>
      <c r="H2" s="2"/>
      <c r="I2" s="2"/>
      <c r="J2" s="2"/>
      <c r="L2" s="88"/>
      <c r="M2" s="88"/>
      <c r="N2" s="88"/>
    </row>
    <row r="3" spans="1:14" ht="3" customHeight="1">
      <c r="A3" s="2"/>
      <c r="B3" s="2"/>
      <c r="C3" s="2"/>
      <c r="D3" s="2"/>
      <c r="E3" s="2"/>
      <c r="F3" s="2"/>
      <c r="G3" s="2"/>
      <c r="H3" s="2"/>
      <c r="I3" s="2"/>
      <c r="J3" s="2"/>
      <c r="L3" s="88" t="s">
        <v>68</v>
      </c>
      <c r="M3" s="88" t="s">
        <v>15</v>
      </c>
      <c r="N3" s="88" t="s">
        <v>69</v>
      </c>
    </row>
    <row r="4" spans="1:14" ht="19.899999999999999" customHeight="1">
      <c r="A4" s="181" t="s">
        <v>21</v>
      </c>
      <c r="B4" s="181"/>
      <c r="C4" s="2"/>
      <c r="D4" s="2"/>
      <c r="E4" s="2"/>
      <c r="F4" s="2"/>
      <c r="G4" s="89" t="s">
        <v>22</v>
      </c>
      <c r="H4" s="90"/>
      <c r="I4" s="2"/>
      <c r="J4" s="2"/>
      <c r="L4" s="88" t="s">
        <v>70</v>
      </c>
      <c r="M4" s="91">
        <f>IFERROR(_xlfn.XLOOKUP("Población de 0 a 14 años (% del total regional)",Nacional!$C$5:$C$433,Nacional!$F$5:$F$433),"")</f>
        <v>0.18161011212328701</v>
      </c>
      <c r="N4" s="91"/>
    </row>
    <row r="5" spans="1:14" ht="18">
      <c r="A5" s="16" t="s">
        <v>23</v>
      </c>
      <c r="B5" s="2"/>
      <c r="C5" s="2"/>
      <c r="D5" s="2"/>
      <c r="E5" s="2"/>
      <c r="F5" s="2"/>
      <c r="G5" s="2"/>
      <c r="H5" s="2"/>
      <c r="I5" s="2"/>
      <c r="J5" s="2"/>
      <c r="L5" s="88" t="s">
        <v>71</v>
      </c>
      <c r="M5" s="91">
        <f>IFERROR(_xlfn.XLOOKUP("Población de 15 a 64 años (% del total regional)",Nacional!$C$5:$C$433,Nacional!$F$5:$F$433),"")</f>
        <v>0.67605096127060804</v>
      </c>
      <c r="N5" s="91"/>
    </row>
    <row r="6" spans="1:14" ht="24.6" customHeight="1">
      <c r="A6" s="182" t="s">
        <v>735</v>
      </c>
      <c r="B6" s="183"/>
      <c r="C6" s="183"/>
      <c r="D6" s="183"/>
      <c r="E6" s="183"/>
      <c r="F6" s="183"/>
      <c r="G6" s="183"/>
      <c r="H6" s="183"/>
      <c r="I6" s="2"/>
      <c r="J6" s="2"/>
      <c r="L6" s="88" t="s">
        <v>72</v>
      </c>
      <c r="M6" s="91">
        <f>IFERROR(_xlfn.XLOOKUP("Población de 65 años y más (% del total regional)",Nacional!$C$5:$C$433,Nacional!$F$5:$F$433),"")</f>
        <v>0.142338926606104</v>
      </c>
      <c r="N6" s="91"/>
    </row>
    <row r="7" spans="1:14" ht="18">
      <c r="A7" s="184" t="s">
        <v>30</v>
      </c>
      <c r="B7" s="184"/>
      <c r="C7" s="184" t="s">
        <v>32</v>
      </c>
      <c r="D7" s="184"/>
      <c r="E7" s="184" t="s">
        <v>598</v>
      </c>
      <c r="F7" s="184"/>
      <c r="G7" s="184" t="s">
        <v>736</v>
      </c>
      <c r="H7" s="184"/>
      <c r="I7" s="2"/>
      <c r="J7" s="2"/>
      <c r="L7" s="88"/>
      <c r="M7" s="88"/>
      <c r="N7" s="88"/>
    </row>
    <row r="8" spans="1:14" ht="20.45">
      <c r="A8" s="185">
        <f>IFERROR(_xlfn.XLOOKUP("Población total",Nacional!$C$5:$C$433,Nacional!$F$5:$F$433),"")</f>
        <v>20206953</v>
      </c>
      <c r="B8" s="185"/>
      <c r="C8" s="186">
        <f>IFERROR(_xlfn.XLOOKUP("Población urbana (% del total regional)",Nacional!$C$5:$C$433,Nacional!$F$5:$F$433),"")</f>
        <v>0.87767499527569204</v>
      </c>
      <c r="D8" s="186"/>
      <c r="E8" s="187">
        <f>IFERROR(_xlfn.XLOOKUP("Promedio de personas por hogar",Nacional!$C$5:$C$433,Nacional!$F$5:$F$433),"")</f>
        <v>2.8</v>
      </c>
      <c r="F8" s="187"/>
      <c r="G8" s="188">
        <f>IFERROR(_xlfn.XLOOKUP("Esperanza de vida al nacer: hombres (2025)",Nacional!$C$5:$C$433,Nacional!$F$5:$F$433),"")</f>
        <v>79</v>
      </c>
      <c r="H8" s="188"/>
      <c r="I8" s="2"/>
      <c r="J8" s="2"/>
      <c r="L8" s="88"/>
      <c r="M8" s="88"/>
      <c r="N8" s="88"/>
    </row>
    <row r="9" spans="1:14" ht="31.9" customHeight="1">
      <c r="A9" s="189" t="s">
        <v>737</v>
      </c>
      <c r="B9" s="189"/>
      <c r="C9" s="189"/>
      <c r="D9" s="189"/>
      <c r="E9" s="189"/>
      <c r="F9" s="189"/>
      <c r="G9" s="189"/>
      <c r="H9" s="189"/>
      <c r="I9" s="2"/>
      <c r="J9" s="2"/>
      <c r="L9" s="88" t="s">
        <v>73</v>
      </c>
      <c r="M9" s="88" t="s">
        <v>15</v>
      </c>
      <c r="N9" s="88" t="s">
        <v>69</v>
      </c>
    </row>
    <row r="10" spans="1:14" ht="18">
      <c r="A10" s="179" t="s">
        <v>30</v>
      </c>
      <c r="B10" s="179"/>
      <c r="C10" s="179" t="s">
        <v>738</v>
      </c>
      <c r="D10" s="179"/>
      <c r="E10" s="179" t="s">
        <v>32</v>
      </c>
      <c r="F10" s="179"/>
      <c r="G10" s="179" t="s">
        <v>33</v>
      </c>
      <c r="H10" s="179"/>
      <c r="I10" s="2"/>
      <c r="J10" s="2"/>
      <c r="L10" s="88">
        <v>2015</v>
      </c>
      <c r="M10" s="91">
        <f>IFERROR(_xlfn.XLOOKUP("Tasa de desocupación, ambos sexos (2015)",Nacional!$C$5:$C$433,Nacional!$F$5:$F$433),"")</f>
        <v>6.3E-2</v>
      </c>
      <c r="N10" s="91"/>
    </row>
    <row r="11" spans="1:14" ht="33">
      <c r="A11" s="190">
        <f>IFERROR(_xlfn.XLOOKUP("Población total",Nacional!$C$5:$C$433,Nacional!$F$5:$F$433),"")</f>
        <v>20206953</v>
      </c>
      <c r="B11" s="190"/>
      <c r="C11" s="191">
        <f>IFERROR(_xlfn.XLOOKUP("Inmigrantes (% de la población regional, 2024)",Nacional!$C$5:$C$433,Nacional!$F$5:$F$433),"")</f>
        <v>8.7999999999999995E-2</v>
      </c>
      <c r="D11" s="191"/>
      <c r="E11" s="191">
        <f>IFERROR(_xlfn.XLOOKUP("Población urbana (% del total regional)",Nacional!$C$5:$C$433,Nacional!$F$5:$F$433),"")</f>
        <v>0.87767499527569204</v>
      </c>
      <c r="F11" s="191"/>
      <c r="G11" s="191">
        <f>IFERROR(_xlfn.XLOOKUP("Población de 65 años y más (% del total regional)",Nacional!$C$5:$C$433,Nacional!$F$5:$F$433),"")</f>
        <v>0.142338926606104</v>
      </c>
      <c r="H11" s="191"/>
      <c r="I11" s="2"/>
      <c r="J11" s="2"/>
      <c r="L11" s="88">
        <v>2016</v>
      </c>
      <c r="M11" s="91">
        <f>IFERROR(_xlfn.XLOOKUP("Tasa de desocupación, ambos sexos (2016)",Nacional!$C$5:$C$433,Nacional!$F$5:$F$433),"")</f>
        <v>6.7000000000000004E-2</v>
      </c>
      <c r="N11" s="91"/>
    </row>
    <row r="12" spans="1:14" ht="18">
      <c r="A12" s="179" t="s">
        <v>34</v>
      </c>
      <c r="B12" s="179"/>
      <c r="C12" s="179" t="s">
        <v>35</v>
      </c>
      <c r="D12" s="179"/>
      <c r="E12" s="179" t="s">
        <v>739</v>
      </c>
      <c r="F12" s="179"/>
      <c r="G12" s="179" t="s">
        <v>37</v>
      </c>
      <c r="H12" s="179"/>
      <c r="I12" s="2"/>
      <c r="J12" s="2"/>
      <c r="L12" s="88">
        <v>2017</v>
      </c>
      <c r="M12" s="91">
        <f>IFERROR(_xlfn.XLOOKUP("Tasa de desocupación, ambos sexos (2017)",Nacional!$C$5:$C$433,Nacional!$F$5:$F$433),"")</f>
        <v>7.0000000000000007E-2</v>
      </c>
      <c r="N12" s="91"/>
    </row>
    <row r="13" spans="1:14" ht="33">
      <c r="A13" s="191">
        <f>IFERROR(_xlfn.XLOOKUP("Tasa de desocupación, ambos sexos (jun-2026)",Nacional!$C$5:$C$433,Nacional!$F$5:$F$433),"")</f>
        <v>9.4E-2</v>
      </c>
      <c r="B13" s="191"/>
      <c r="C13" s="191">
        <f>IFERROR(_xlfn.XLOOKUP("Tasa de ocupación informal, ambos sexos (jun-2026)",Nacional!$C$5:$C$433,Nacional!$F$5:$F$433),"")</f>
        <v>0.27</v>
      </c>
      <c r="D13" s="191"/>
      <c r="E13" s="191">
        <f>IFERROR(_xlfn.XLOOKUP("Hogares con acceso a internet (%)",Nacional!$C$5:$C$433,Nacional!$F$5:$F$433),"")</f>
        <v>0.93200000000000005</v>
      </c>
      <c r="F13" s="191"/>
      <c r="G13" s="195">
        <f>IFERROR(_xlfn.XLOOKUP("Ingreso mediano mensual",Nacional!$C$5:$C$433,Nacional!$F$5:$F$433),"")</f>
        <v>680</v>
      </c>
      <c r="H13" s="195"/>
      <c r="I13" s="2"/>
      <c r="J13" s="2"/>
      <c r="L13" s="88">
        <v>2018</v>
      </c>
      <c r="M13" s="91">
        <f>IFERROR(_xlfn.XLOOKUP("Tasa de desocupación, ambos sexos (2018)",Nacional!$C$5:$C$433,Nacional!$F$5:$F$433),"")</f>
        <v>7.3999999999999996E-2</v>
      </c>
      <c r="N13" s="91"/>
    </row>
    <row r="14" spans="1:14" ht="18">
      <c r="A14" s="179" t="s">
        <v>38</v>
      </c>
      <c r="B14" s="179"/>
      <c r="C14" s="179" t="s">
        <v>39</v>
      </c>
      <c r="D14" s="179"/>
      <c r="E14" s="179" t="s">
        <v>40</v>
      </c>
      <c r="F14" s="179"/>
      <c r="G14" s="179" t="s">
        <v>41</v>
      </c>
      <c r="H14" s="179"/>
      <c r="I14" s="2"/>
      <c r="J14" s="2"/>
      <c r="L14" s="88">
        <v>2019</v>
      </c>
      <c r="M14" s="91">
        <f>IFERROR(_xlfn.XLOOKUP("Tasa de desocupación, ambos sexos (2019)",Nacional!$C$5:$C$433,Nacional!$F$5:$F$433),"")</f>
        <v>7.1999999999999995E-2</v>
      </c>
      <c r="N14" s="91"/>
    </row>
    <row r="15" spans="1:14" ht="33">
      <c r="A15" s="192">
        <f>IFERROR(_xlfn.XLOOKUP("PIB per cápita (2025)",Nacional!$C$5:$C$433,Nacional!$F$5:$F$433),"")</f>
        <v>17680</v>
      </c>
      <c r="B15" s="192"/>
      <c r="C15" s="193">
        <f>IFERROR(_xlfn.XLOOKUP("Tasa de homicidios (2025)",Nacional!$C$5:$C$433,Nacional!$F$5:$F$433),"")</f>
        <v>5.4</v>
      </c>
      <c r="D15" s="193"/>
      <c r="E15" s="193">
        <f>IFERROR(_xlfn.XLOOKUP("Años promedio de escolaridad (18 años y más)",Nacional!$C$5:$C$433,Nacional!$F$5:$F$433),"")</f>
        <v>12.1</v>
      </c>
      <c r="F15" s="193"/>
      <c r="G15" s="194">
        <f>IFERROR(_xlfn.XLOOKUP("Índice de Desarrollo Humano, IDH (2023)",Nacional!$C$5:$C$433,Nacional!$F$5:$F$433),"")</f>
        <v>0.878</v>
      </c>
      <c r="H15" s="194"/>
      <c r="I15" s="2"/>
      <c r="J15" s="2"/>
      <c r="L15" s="88">
        <v>2022</v>
      </c>
      <c r="M15" s="91">
        <f>IFERROR(_xlfn.XLOOKUP("Tasa de desocupación, ambos sexos (2022)",Nacional!$C$5:$C$433,Nacional!$F$5:$F$433),"")</f>
        <v>7.9000000000000001E-2</v>
      </c>
      <c r="N15" s="91"/>
    </row>
    <row r="16" spans="1:14" ht="18" customHeight="1">
      <c r="A16" s="174" t="s">
        <v>42</v>
      </c>
      <c r="B16" s="174"/>
      <c r="C16" s="174" t="s">
        <v>43</v>
      </c>
      <c r="D16" s="174"/>
      <c r="E16" s="174" t="s">
        <v>44</v>
      </c>
      <c r="F16" s="174"/>
      <c r="G16" s="174" t="s">
        <v>45</v>
      </c>
      <c r="H16" s="174"/>
      <c r="I16" s="2"/>
      <c r="J16" s="2"/>
      <c r="L16" s="88"/>
      <c r="M16" s="91"/>
      <c r="N16" s="91"/>
    </row>
    <row r="17" spans="1:14" ht="33" customHeight="1">
      <c r="A17" s="175">
        <f>IFERROR(_xlfn.XLOOKUP("Lista de espera por cada 10.000 hab.: total consulta + operación (junio 2025)",Nacional!$C$5:$C$433,Nacional!$F$5:$F$433),"")</f>
        <v>1287.8</v>
      </c>
      <c r="B17" s="176"/>
      <c r="C17" s="177">
        <f>IFERROR(_xlfn.XLOOKUP("Percepción de aumento de la delincuencia en el país (2025)",Nacional!$C$5:$C$433,Nacional!$F$5:$F$433),"")</f>
        <v>0.82899999999999996</v>
      </c>
      <c r="D17" s="176"/>
      <c r="E17" s="178">
        <f>IFERROR(_xlfn.XLOOKUP("PAES Matemática 1: promedio regional (2026)",Nacional!$C$5:$C$433,Nacional!$F$5:$F$433),"")</f>
        <v>631</v>
      </c>
      <c r="F17" s="176"/>
      <c r="G17" s="178">
        <f>IFERROR(_xlfn.XLOOKUP("Familias en campamentos (2024-2025)",Nacional!$C$5:$C$433,Nacional!$F$5:$F$433),"")</f>
        <v>120584</v>
      </c>
      <c r="H17" s="176"/>
      <c r="I17" s="2"/>
      <c r="J17" s="2"/>
      <c r="L17" s="88"/>
      <c r="M17" s="91"/>
      <c r="N17" s="91"/>
    </row>
    <row r="18" spans="1:14" ht="25.9" customHeight="1">
      <c r="A18" s="92" t="s">
        <v>46</v>
      </c>
      <c r="B18" s="92"/>
      <c r="C18" s="92"/>
      <c r="D18" s="92"/>
      <c r="E18" s="92"/>
      <c r="F18" s="92"/>
      <c r="G18" s="92"/>
      <c r="H18" s="92"/>
      <c r="I18" s="2"/>
      <c r="J18" s="2"/>
      <c r="L18" s="88">
        <v>2023</v>
      </c>
      <c r="M18" s="91">
        <f>IFERROR(_xlfn.XLOOKUP("Tasa de desocupación, ambos sexos (2023)",Nacional!$C$5:$C$433,Nacional!$F$5:$F$433),"")</f>
        <v>8.6999999999999994E-2</v>
      </c>
      <c r="N18" s="91"/>
    </row>
    <row r="19" spans="1:14" ht="18">
      <c r="A19" s="93" t="s">
        <v>47</v>
      </c>
      <c r="B19" s="93"/>
      <c r="C19" s="93"/>
      <c r="D19" s="94" t="s">
        <v>48</v>
      </c>
      <c r="E19" s="93" t="s">
        <v>47</v>
      </c>
      <c r="F19" s="93"/>
      <c r="G19" s="93"/>
      <c r="H19" s="94" t="s">
        <v>48</v>
      </c>
      <c r="I19" s="2"/>
      <c r="J19" s="2"/>
      <c r="L19" s="95">
        <v>46174</v>
      </c>
      <c r="M19" s="91">
        <f>IFERROR(_xlfn.XLOOKUP("Tasa de desocupación, ambos sexos (jun-2026)",Nacional!$C$5:$C$433,Nacional!$F$5:$F$433),"")</f>
        <v>9.4E-2</v>
      </c>
      <c r="N19" s="91"/>
    </row>
    <row r="20" spans="1:14" ht="19.899999999999999">
      <c r="A20" s="96" t="s">
        <v>49</v>
      </c>
      <c r="B20" s="97"/>
      <c r="C20" s="97"/>
      <c r="D20" s="98">
        <f>COUNTIF(Nacional!$A$5:$A$433,A20)</f>
        <v>3</v>
      </c>
      <c r="E20" s="96" t="s">
        <v>50</v>
      </c>
      <c r="F20" s="97"/>
      <c r="G20" s="97"/>
      <c r="H20" s="98">
        <f>COUNTIF(Nacional!$A$5:$A$433,E20)</f>
        <v>85</v>
      </c>
      <c r="I20" s="2"/>
      <c r="J20" s="2"/>
      <c r="L20" s="88"/>
      <c r="M20" s="88"/>
      <c r="N20" s="88"/>
    </row>
    <row r="21" spans="1:14" ht="19.899999999999999">
      <c r="A21" s="99" t="s">
        <v>51</v>
      </c>
      <c r="B21" s="6"/>
      <c r="C21" s="6"/>
      <c r="D21" s="100">
        <f>COUNTIF(Nacional!$A$5:$A$433,A21)</f>
        <v>80</v>
      </c>
      <c r="E21" s="99" t="s">
        <v>52</v>
      </c>
      <c r="F21" s="6"/>
      <c r="G21" s="6"/>
      <c r="H21" s="100">
        <f>COUNTIF(Nacional!$A$5:$A$433,E21)</f>
        <v>25</v>
      </c>
      <c r="I21" s="2"/>
      <c r="J21" s="2"/>
      <c r="L21" s="88"/>
      <c r="M21" s="88"/>
      <c r="N21" s="88"/>
    </row>
    <row r="22" spans="1:14" ht="19.899999999999999">
      <c r="A22" s="99" t="s">
        <v>53</v>
      </c>
      <c r="B22" s="6"/>
      <c r="C22" s="6"/>
      <c r="D22" s="100">
        <f>COUNTIF(Nacional!$A$5:$A$433,A22)</f>
        <v>49</v>
      </c>
      <c r="E22" s="99" t="s">
        <v>54</v>
      </c>
      <c r="F22" s="6"/>
      <c r="G22" s="6"/>
      <c r="H22" s="100">
        <f>COUNTIF(Nacional!$A$5:$A$433,E22)</f>
        <v>4</v>
      </c>
      <c r="I22" s="2"/>
      <c r="J22" s="2"/>
      <c r="L22" s="88" t="s">
        <v>74</v>
      </c>
      <c r="M22" s="88" t="s">
        <v>75</v>
      </c>
      <c r="N22" s="88"/>
    </row>
    <row r="23" spans="1:14" ht="19.899999999999999">
      <c r="A23" s="99" t="s">
        <v>55</v>
      </c>
      <c r="B23" s="6"/>
      <c r="C23" s="6"/>
      <c r="D23" s="100">
        <f>COUNTIF(Nacional!$A$5:$A$433,A23)</f>
        <v>16</v>
      </c>
      <c r="E23" s="99" t="s">
        <v>56</v>
      </c>
      <c r="F23" s="6"/>
      <c r="G23" s="6"/>
      <c r="H23" s="100">
        <f>COUNTIF(Nacional!$A$5:$A$433,E23)</f>
        <v>5</v>
      </c>
      <c r="I23" s="2"/>
      <c r="J23" s="2"/>
      <c r="L23" s="88" t="s">
        <v>76</v>
      </c>
      <c r="M23" s="91">
        <f>IFERROR(_xlfn.XLOOKUP("PIB Agropecuario-silvícola: % del total regional (2025)",Nacional!$C$5:$C$433,Nacional!$F$5:$F$433),"")</f>
        <v>3.6307064421299301E-2</v>
      </c>
      <c r="N23" s="88"/>
    </row>
    <row r="24" spans="1:14" ht="19.899999999999999">
      <c r="A24" s="99" t="s">
        <v>57</v>
      </c>
      <c r="B24" s="6"/>
      <c r="C24" s="6"/>
      <c r="D24" s="100">
        <f>COUNTIF(Nacional!$A$5:$A$433,A24)</f>
        <v>35</v>
      </c>
      <c r="E24" s="99" t="s">
        <v>58</v>
      </c>
      <c r="F24" s="6"/>
      <c r="G24" s="6"/>
      <c r="H24" s="100">
        <f>COUNTIF(Nacional!$A$5:$A$433,E24)</f>
        <v>18</v>
      </c>
      <c r="I24" s="2"/>
      <c r="J24" s="2"/>
      <c r="L24" s="88" t="s">
        <v>66</v>
      </c>
      <c r="M24" s="91">
        <f>IFERROR(_xlfn.XLOOKUP("PIB Pesca: % del total regional (2025)",Nacional!$C$5:$C$433,Nacional!$F$5:$F$433),"")</f>
        <v>7.74833567366071E-3</v>
      </c>
      <c r="N24" s="88"/>
    </row>
    <row r="25" spans="1:14" ht="19.899999999999999">
      <c r="A25" s="99" t="s">
        <v>59</v>
      </c>
      <c r="B25" s="6"/>
      <c r="C25" s="6"/>
      <c r="D25" s="100">
        <f>COUNTIF(Nacional!$A$5:$A$433,A25)</f>
        <v>20</v>
      </c>
      <c r="E25" s="99" t="s">
        <v>60</v>
      </c>
      <c r="F25" s="6"/>
      <c r="G25" s="6"/>
      <c r="H25" s="100">
        <f>COUNTIF(Nacional!$A$5:$A$433,E25)</f>
        <v>16</v>
      </c>
      <c r="I25" s="2"/>
      <c r="J25" s="2"/>
      <c r="L25" s="88" t="s">
        <v>77</v>
      </c>
      <c r="M25" s="91">
        <f>IFERROR(_xlfn.XLOOKUP("PIB Minería: % del total regional (2025)",Nacional!$C$5:$C$433,Nacional!$F$5:$F$433),"")</f>
        <v>7.6437786016628095E-2</v>
      </c>
      <c r="N25" s="88"/>
    </row>
    <row r="26" spans="1:14" ht="19.899999999999999">
      <c r="A26" s="99" t="s">
        <v>61</v>
      </c>
      <c r="B26" s="6"/>
      <c r="C26" s="6"/>
      <c r="D26" s="100">
        <f>COUNTIF(Nacional!$A$5:$A$433,A26)</f>
        <v>8</v>
      </c>
      <c r="E26" s="99" t="s">
        <v>62</v>
      </c>
      <c r="F26" s="6"/>
      <c r="G26" s="6"/>
      <c r="H26" s="100">
        <f>COUNTIF(Nacional!$A$5:$A$433,E26)</f>
        <v>5</v>
      </c>
      <c r="I26" s="2"/>
      <c r="J26" s="2"/>
      <c r="L26" s="88" t="s">
        <v>78</v>
      </c>
      <c r="M26" s="91">
        <f>IFERROR(_xlfn.XLOOKUP("PIB Industria manufacturera: % del total regional (2025)",Nacional!$C$5:$C$433,Nacional!$F$5:$F$433),"")</f>
        <v>9.8849367101395094E-2</v>
      </c>
      <c r="N26" s="88"/>
    </row>
    <row r="27" spans="1:14" ht="19.899999999999999">
      <c r="A27" s="99" t="s">
        <v>63</v>
      </c>
      <c r="B27" s="6"/>
      <c r="C27" s="6"/>
      <c r="D27" s="100">
        <f>COUNTIF(Nacional!$A$5:$A$433,A27)</f>
        <v>18</v>
      </c>
      <c r="E27" s="99" t="s">
        <v>64</v>
      </c>
      <c r="F27" s="6"/>
      <c r="G27" s="6"/>
      <c r="H27" s="100">
        <f>COUNTIF(Nacional!$A$5:$A$433,E27)</f>
        <v>12</v>
      </c>
      <c r="I27" s="2"/>
      <c r="J27" s="2"/>
      <c r="L27" s="88" t="s">
        <v>79</v>
      </c>
      <c r="M27" s="91">
        <f>IFERROR(_xlfn.XLOOKUP("PIB Electricidad, gas, agua y gestión de desechos: % del total regional (2025)",Nacional!$C$5:$C$433,Nacional!$F$5:$F$433),"")</f>
        <v>4.14288456293124E-2</v>
      </c>
      <c r="N27" s="88"/>
    </row>
    <row r="28" spans="1:14" ht="19.899999999999999">
      <c r="A28" s="101" t="s">
        <v>65</v>
      </c>
      <c r="B28" s="8"/>
      <c r="C28" s="8"/>
      <c r="D28" s="102">
        <f>COUNTIF(Nacional!$A$5:$A$433,A28)</f>
        <v>15</v>
      </c>
      <c r="E28" s="101" t="s">
        <v>66</v>
      </c>
      <c r="F28" s="8"/>
      <c r="G28" s="8"/>
      <c r="H28" s="102">
        <f>COUNTIF(Nacional!$A$5:$A$433,E28)</f>
        <v>15</v>
      </c>
      <c r="I28" s="2"/>
      <c r="J28" s="2"/>
      <c r="L28" s="88" t="s">
        <v>80</v>
      </c>
      <c r="M28" s="91">
        <f>IFERROR(_xlfn.XLOOKUP("PIB Construcción: % del total regional (2025)",Nacional!$C$5:$C$433,Nacional!$F$5:$F$433),"")</f>
        <v>6.3587873400074796E-2</v>
      </c>
      <c r="N28" s="88"/>
    </row>
    <row r="29" spans="1:14" ht="16.899999999999999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L29" s="88" t="s">
        <v>81</v>
      </c>
      <c r="M29" s="91">
        <f>IFERROR(_xlfn.XLOOKUP("PIB Comercio: % del total regional (2025)",Nacional!$C$5:$C$433,Nacional!$F$5:$F$433),"")</f>
        <v>0.105865298164443</v>
      </c>
      <c r="N29" s="88"/>
    </row>
    <row r="30" spans="1:14" ht="16.899999999999999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L30" s="88" t="s">
        <v>82</v>
      </c>
      <c r="M30" s="91">
        <f>IFERROR(_xlfn.XLOOKUP("PIB Restaurantes y hoteles: % del total regional (2025)",Nacional!$C$5:$C$433,Nacional!$F$5:$F$433),"")</f>
        <v>2.0972027194940901E-2</v>
      </c>
      <c r="N30" s="88"/>
    </row>
    <row r="31" spans="1:14" ht="16.899999999999999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L31" s="88" t="s">
        <v>83</v>
      </c>
      <c r="M31" s="91">
        <f>IFERROR(_xlfn.XLOOKUP("PIB Transporte, información y comunicaciones: % del total regional (2025)",Nacional!$C$5:$C$433,Nacional!$F$5:$F$433),"")</f>
        <v>0.105425855398075</v>
      </c>
      <c r="N31" s="88"/>
    </row>
    <row r="32" spans="1:14" ht="16.899999999999999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L32" s="88" t="s">
        <v>84</v>
      </c>
      <c r="M32" s="91">
        <f>IFERROR(_xlfn.XLOOKUP("PIB Servicios financieros y empresariales: % del total regional (2025)",Nacional!$C$5:$C$433,Nacional!$F$5:$F$433),"")</f>
        <v>0.15792158724706801</v>
      </c>
      <c r="N32" s="88"/>
    </row>
    <row r="33" spans="1:14" ht="16.899999999999999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L33" s="88" t="s">
        <v>85</v>
      </c>
      <c r="M33" s="91">
        <f>IFERROR(_xlfn.XLOOKUP("PIB Servicios de vivienda e inmobiliarios: % del total regional (2025)",Nacional!$C$5:$C$433,Nacional!$F$5:$F$433),"")</f>
        <v>8.4938730566022497E-2</v>
      </c>
      <c r="N33" s="88"/>
    </row>
    <row r="34" spans="1:14" ht="6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L34" s="88" t="s">
        <v>86</v>
      </c>
      <c r="M34" s="91">
        <f>IFERROR(_xlfn.XLOOKUP("PIB Servicios personales: % del total regional (2025)",Nacional!$C$5:$C$433,Nacional!$F$5:$F$433),"")</f>
        <v>0.148511450767257</v>
      </c>
      <c r="N34" s="88"/>
    </row>
    <row r="35" spans="1:14" ht="18">
      <c r="A35" s="2"/>
      <c r="B35" s="2"/>
      <c r="C35" s="2"/>
      <c r="D35" s="2"/>
      <c r="E35" s="2"/>
      <c r="F35" s="2"/>
      <c r="G35" s="2"/>
      <c r="H35" s="2"/>
      <c r="I35" s="2"/>
      <c r="J35" s="2"/>
      <c r="L35" s="88" t="s">
        <v>87</v>
      </c>
      <c r="M35" s="91">
        <f>IFERROR(_xlfn.XLOOKUP("PIB Administración pública: % del total regional (2025)",Nacional!$C$5:$C$433,Nacional!$F$5:$F$433),"")</f>
        <v>5.20057784198244E-2</v>
      </c>
      <c r="N35" s="88"/>
    </row>
    <row r="36" spans="1:14" ht="18">
      <c r="A36" s="2"/>
      <c r="B36" s="2"/>
      <c r="C36" s="2"/>
      <c r="D36" s="2"/>
      <c r="E36" s="2"/>
      <c r="F36" s="2"/>
      <c r="G36" s="2"/>
      <c r="H36" s="2"/>
      <c r="I36" s="2"/>
      <c r="J36" s="2"/>
      <c r="L36" s="88"/>
      <c r="M36" s="88"/>
      <c r="N36" s="88"/>
    </row>
    <row r="37" spans="1:14" ht="18">
      <c r="A37" s="2"/>
      <c r="B37" s="2"/>
      <c r="C37" s="2"/>
      <c r="D37" s="2"/>
      <c r="E37" s="2"/>
      <c r="F37" s="2"/>
      <c r="G37" s="2"/>
      <c r="H37" s="2"/>
      <c r="I37" s="2"/>
      <c r="J37" s="2"/>
      <c r="L37" s="88"/>
      <c r="M37" s="88"/>
      <c r="N37" s="88"/>
    </row>
    <row r="38" spans="1:14" ht="18">
      <c r="A38" s="2"/>
      <c r="B38" s="2"/>
      <c r="C38" s="2"/>
      <c r="D38" s="2"/>
      <c r="E38" s="2"/>
      <c r="F38" s="2"/>
      <c r="G38" s="2"/>
      <c r="H38" s="2"/>
      <c r="I38" s="2"/>
      <c r="J38" s="2"/>
      <c r="L38" s="88" t="s">
        <v>88</v>
      </c>
      <c r="M38" s="88" t="s">
        <v>15</v>
      </c>
      <c r="N38" s="88" t="s">
        <v>69</v>
      </c>
    </row>
    <row r="39" spans="1:14" ht="18">
      <c r="A39" s="2"/>
      <c r="B39" s="2"/>
      <c r="C39" s="2"/>
      <c r="D39" s="2"/>
      <c r="E39" s="2"/>
      <c r="F39" s="2"/>
      <c r="G39" s="2"/>
      <c r="H39" s="2"/>
      <c r="I39" s="2"/>
      <c r="J39" s="2"/>
      <c r="L39" s="88" t="s">
        <v>89</v>
      </c>
      <c r="M39" s="91">
        <f>IFERROR(_xlfn.XLOOKUP("Tasa de desocupación, ambos sexos (jun-2026)",Nacional!$C$5:$C$433,Nacional!$F$5:$F$433),"")</f>
        <v>9.4E-2</v>
      </c>
      <c r="N39" s="91"/>
    </row>
    <row r="40" spans="1:14" ht="18">
      <c r="A40" s="2"/>
      <c r="B40" s="2"/>
      <c r="C40" s="2"/>
      <c r="D40" s="2"/>
      <c r="E40" s="2"/>
      <c r="F40" s="2"/>
      <c r="G40" s="2"/>
      <c r="H40" s="2"/>
      <c r="I40" s="2"/>
      <c r="J40" s="2"/>
      <c r="L40" s="88" t="s">
        <v>90</v>
      </c>
      <c r="M40" s="91">
        <f>IFERROR(_xlfn.XLOOKUP("Tasa de ocupación informal, ambos sexos (jun-2026)",Nacional!$C$5:$C$433,Nacional!$F$5:$F$433),"")</f>
        <v>0.27</v>
      </c>
      <c r="N40" s="91"/>
    </row>
    <row r="41" spans="1:14" ht="18">
      <c r="A41" s="2"/>
      <c r="B41" s="2"/>
      <c r="C41" s="2"/>
      <c r="D41" s="2"/>
      <c r="E41" s="2"/>
      <c r="F41" s="2"/>
      <c r="G41" s="2"/>
      <c r="H41" s="2"/>
      <c r="I41" s="2"/>
      <c r="J41" s="2"/>
      <c r="L41" s="88" t="s">
        <v>91</v>
      </c>
      <c r="M41" s="91">
        <f>IFERROR(_xlfn.XLOOKUP("Pobreza por ingresos (2024)",Nacional!$C$5:$C$433,Nacional!$F$5:$F$433),"")</f>
        <v>0.17299999999999999</v>
      </c>
      <c r="N41" s="91"/>
    </row>
    <row r="42" spans="1:14" ht="18">
      <c r="A42" s="2"/>
      <c r="B42" s="2"/>
      <c r="C42" s="2"/>
      <c r="D42" s="2"/>
      <c r="E42" s="2"/>
      <c r="F42" s="2"/>
      <c r="G42" s="2"/>
      <c r="H42" s="2"/>
      <c r="I42" s="2"/>
      <c r="J42" s="2"/>
      <c r="L42" s="88" t="s">
        <v>92</v>
      </c>
      <c r="M42" s="91">
        <f>IFERROR(_xlfn.XLOOKUP("Pobreza multidimensional (2024)",Nacional!$C$5:$C$433,Nacional!$F$5:$F$433),"")</f>
        <v>0.17699999999999999</v>
      </c>
      <c r="N42" s="91"/>
    </row>
    <row r="43" spans="1:14" ht="18">
      <c r="A43" s="2"/>
      <c r="B43" s="2"/>
      <c r="C43" s="2"/>
      <c r="D43" s="2"/>
      <c r="E43" s="2"/>
      <c r="F43" s="2"/>
      <c r="G43" s="2"/>
      <c r="H43" s="2"/>
      <c r="I43" s="2"/>
      <c r="J43" s="2"/>
      <c r="L43" s="88" t="s">
        <v>93</v>
      </c>
      <c r="M43" s="91">
        <f>IFERROR(_xlfn.XLOOKUP("Hogares en situación de hacinamiento (%)",Nacional!$C$5:$C$433,Nacional!$F$5:$F$433),"")</f>
        <v>5.7000000000000002E-2</v>
      </c>
      <c r="N43" s="91"/>
    </row>
    <row r="44" spans="1:14" ht="18">
      <c r="A44" s="2"/>
      <c r="B44" s="2"/>
      <c r="C44" s="2"/>
      <c r="D44" s="2"/>
      <c r="E44" s="2"/>
      <c r="F44" s="2"/>
      <c r="G44" s="2"/>
      <c r="H44" s="2"/>
      <c r="I44" s="2"/>
      <c r="J44" s="2"/>
      <c r="L44" s="88" t="s">
        <v>94</v>
      </c>
      <c r="M44" s="91">
        <f>IFERROR(_xlfn.XLOOKUP("Hogares con acceso a internet (%)",Nacional!$C$5:$C$433,Nacional!$F$5:$F$433),"")</f>
        <v>0.93200000000000005</v>
      </c>
      <c r="N44" s="91"/>
    </row>
    <row r="45" spans="1:14">
      <c r="A45" s="2"/>
      <c r="B45" s="2"/>
      <c r="C45" s="2"/>
      <c r="D45" s="2"/>
      <c r="E45" s="2"/>
      <c r="F45" s="2"/>
      <c r="G45" s="2"/>
      <c r="H45" s="2"/>
      <c r="I45" s="2"/>
      <c r="J45" s="2"/>
      <c r="L45" s="103"/>
      <c r="M45" s="103"/>
      <c r="N45" s="103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L46" s="103"/>
      <c r="M46" s="103"/>
      <c r="N46" s="103"/>
    </row>
    <row r="47" spans="1:14">
      <c r="A47" s="2"/>
      <c r="B47" s="2"/>
      <c r="C47" s="2"/>
      <c r="D47" s="2"/>
      <c r="E47" s="2"/>
      <c r="F47" s="2"/>
      <c r="G47" s="2"/>
      <c r="H47" s="2"/>
      <c r="I47" s="2"/>
      <c r="J47" s="2"/>
      <c r="L47" s="103"/>
      <c r="M47" s="103"/>
      <c r="N47" s="103"/>
    </row>
    <row r="48" spans="1:14">
      <c r="A48" s="2"/>
      <c r="B48" s="2"/>
      <c r="C48" s="2"/>
      <c r="D48" s="2"/>
      <c r="E48" s="2"/>
      <c r="F48" s="2"/>
      <c r="G48" s="2"/>
      <c r="H48" s="2"/>
      <c r="I48" s="2"/>
      <c r="J48" s="2"/>
      <c r="L48" s="103"/>
      <c r="M48" s="103"/>
      <c r="N48" s="103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6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I86" s="2"/>
      <c r="J86" s="2"/>
    </row>
    <row r="87" spans="1:10">
      <c r="I87" s="2"/>
      <c r="J87" s="2"/>
    </row>
    <row r="88" spans="1:10">
      <c r="I88" s="2"/>
      <c r="J88" s="2"/>
    </row>
    <row r="89" spans="1:10">
      <c r="I89" s="2"/>
      <c r="J89" s="2"/>
    </row>
    <row r="90" spans="1:10">
      <c r="I90" s="2"/>
      <c r="J90" s="2"/>
    </row>
  </sheetData>
  <mergeCells count="44">
    <mergeCell ref="A15:B15"/>
    <mergeCell ref="C15:D15"/>
    <mergeCell ref="E15:F15"/>
    <mergeCell ref="G15:H15"/>
    <mergeCell ref="A13:B13"/>
    <mergeCell ref="C13:D13"/>
    <mergeCell ref="E13:F13"/>
    <mergeCell ref="G13:H13"/>
    <mergeCell ref="A14:B14"/>
    <mergeCell ref="C14:D14"/>
    <mergeCell ref="E14:F14"/>
    <mergeCell ref="G14:H14"/>
    <mergeCell ref="A11:B11"/>
    <mergeCell ref="C11:D11"/>
    <mergeCell ref="E11:F11"/>
    <mergeCell ref="G11:H11"/>
    <mergeCell ref="A12:B12"/>
    <mergeCell ref="C12:D12"/>
    <mergeCell ref="E12:F12"/>
    <mergeCell ref="G12:H12"/>
    <mergeCell ref="A10:B10"/>
    <mergeCell ref="C10:D10"/>
    <mergeCell ref="E10:F10"/>
    <mergeCell ref="G10:H10"/>
    <mergeCell ref="A2:B2"/>
    <mergeCell ref="A4:B4"/>
    <mergeCell ref="A6:H6"/>
    <mergeCell ref="A7:B7"/>
    <mergeCell ref="C7:D7"/>
    <mergeCell ref="E7:F7"/>
    <mergeCell ref="G7:H7"/>
    <mergeCell ref="A8:B8"/>
    <mergeCell ref="C8:D8"/>
    <mergeCell ref="E8:F8"/>
    <mergeCell ref="G8:H8"/>
    <mergeCell ref="A9:H9"/>
    <mergeCell ref="A16:B16"/>
    <mergeCell ref="C16:D16"/>
    <mergeCell ref="E16:F16"/>
    <mergeCell ref="G16:H16"/>
    <mergeCell ref="A17:B17"/>
    <mergeCell ref="C17:D17"/>
    <mergeCell ref="E17:F17"/>
    <mergeCell ref="G17:H17"/>
  </mergeCells>
  <hyperlinks>
    <hyperlink ref="A20" location="'Nacional'!A5" display="Administración" xr:uid="{16E912E3-B3ED-4723-AAAD-1ADA35BBE060}"/>
    <hyperlink ref="E20" location="'Nacional'!A235" display="Empleo" xr:uid="{61E140AA-D6CD-49AA-A8A2-01624CE388C1}"/>
    <hyperlink ref="A21" location="'Nacional'!A8" display="Demográfico" xr:uid="{B97916D2-4AB6-48AC-BAB9-AB27DD44F80A}"/>
    <hyperlink ref="E21" location="'Nacional'!A320" display="Medio Ambiente" xr:uid="{27FFCAE5-EF93-479E-956D-912113604D58}"/>
    <hyperlink ref="A22" location="'Nacional'!A88" display="Economía" xr:uid="{7B52F4ED-0CF9-464E-8D1D-87307BAC5DCE}"/>
    <hyperlink ref="E22" location="'Nacional'!A345" display="Vivienda" xr:uid="{BF11648C-5C8A-429A-8997-28C4182B696C}"/>
    <hyperlink ref="A23" location="'Nacional'!A136" display="Votaciones" xr:uid="{7FC1337A-A511-4A8A-9D53-313B6691436A}"/>
    <hyperlink ref="E23" location="'Nacional'!A349" display="Servicios" xr:uid="{88A65CCF-E17E-4E6C-B001-4FCE4CA7E9CE}"/>
    <hyperlink ref="A24" location="'Nacional'!A152" display="Seguridad" xr:uid="{0741408E-AE72-4234-A86E-665E00B58E0A}"/>
    <hyperlink ref="E24" location="'Nacional'!A354" display="Hogares" xr:uid="{8D28DEA8-5A7D-44E2-A2D6-D0769A8ED05A}"/>
    <hyperlink ref="A25" location="'Nacional'!A187" display="Social" xr:uid="{DC108579-4542-410A-BA02-E427070C8A0D}"/>
    <hyperlink ref="E25" location="'Nacional'!A372" display="Cultural, audiovisual, medios" xr:uid="{5A183D13-7EF6-4A4A-B404-FD668BE5BB09}"/>
    <hyperlink ref="A26" location="'Nacional'!A205" display="Geografía" xr:uid="{82978C95-FDD6-49C0-96E0-3BF96B8F9203}"/>
    <hyperlink ref="E26" location="'Nacional'!A383" display="Vehículos" xr:uid="{ACF9148B-6D6D-4A21-89DA-76A40894922F}"/>
    <hyperlink ref="A27" location="'Nacional'!A213" display="Educación" xr:uid="{07968588-5E14-41D7-9B4E-BB0C4AD032CB}"/>
    <hyperlink ref="E27" location="'Nacional'!A388" display="Inversión" xr:uid="{B53A0767-05F8-4B84-99C0-B3ADC5F14EBF}"/>
    <hyperlink ref="A28" location="'Nacional'!A231" display="Salud" xr:uid="{D3CEB49A-3B19-4749-B92D-253222C0DAAA}"/>
    <hyperlink ref="E28" location="'Nacional'!A394" display="Pesca" xr:uid="{0500BBA7-AEFD-4151-A50C-1EAA4DEE92B3}"/>
    <hyperlink ref="G4" location="'Nacional'!A4" display="Ver base de datos completa →" xr:uid="{AA713EC2-F318-40AB-B593-6231D637051B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AADC-C2D5-4F74-88FB-16A26A2C8E5E}">
  <sheetPr filterMode="1"/>
  <dimension ref="A1:G433"/>
  <sheetViews>
    <sheetView showGridLines="0" topLeftCell="A119" workbookViewId="0">
      <selection activeCell="A383" sqref="A383"/>
    </sheetView>
  </sheetViews>
  <sheetFormatPr defaultColWidth="11.42578125" defaultRowHeight="14.45"/>
  <cols>
    <col min="1" max="1" width="19.42578125" customWidth="1"/>
    <col min="2" max="2" width="32.42578125" customWidth="1"/>
    <col min="3" max="3" width="61.140625" customWidth="1"/>
    <col min="4" max="4" width="13.85546875" customWidth="1"/>
    <col min="5" max="5" width="25" customWidth="1"/>
    <col min="6" max="6" width="21.28515625" customWidth="1"/>
    <col min="7" max="7" width="27.7109375" customWidth="1"/>
  </cols>
  <sheetData>
    <row r="1" spans="1:7" ht="31.9">
      <c r="A1" s="29" t="s">
        <v>740</v>
      </c>
      <c r="B1" s="2"/>
      <c r="C1" s="2"/>
      <c r="D1" s="2"/>
      <c r="E1" s="2"/>
      <c r="F1" s="2"/>
      <c r="G1" s="2"/>
    </row>
    <row r="2" spans="1:7" ht="19.899999999999999">
      <c r="A2" s="11" t="s">
        <v>96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30" customHeight="1">
      <c r="A4" s="30" t="s">
        <v>47</v>
      </c>
      <c r="B4" s="31" t="s">
        <v>97</v>
      </c>
      <c r="C4" s="31" t="s">
        <v>98</v>
      </c>
      <c r="D4" s="31" t="s">
        <v>73</v>
      </c>
      <c r="E4" s="31" t="s">
        <v>99</v>
      </c>
      <c r="F4" s="31" t="s">
        <v>100</v>
      </c>
      <c r="G4" s="32" t="s">
        <v>101</v>
      </c>
    </row>
    <row r="5" spans="1:7" ht="19.899999999999999" hidden="1">
      <c r="A5" s="104" t="s">
        <v>49</v>
      </c>
      <c r="B5" s="105"/>
      <c r="C5" s="37" t="s">
        <v>103</v>
      </c>
      <c r="D5" s="106"/>
      <c r="E5" s="107" t="s">
        <v>104</v>
      </c>
      <c r="F5" s="108"/>
      <c r="G5" s="109"/>
    </row>
    <row r="6" spans="1:7" ht="19.899999999999999" hidden="1">
      <c r="A6" s="104" t="s">
        <v>49</v>
      </c>
      <c r="B6" s="105"/>
      <c r="C6" s="37" t="s">
        <v>106</v>
      </c>
      <c r="D6" s="106"/>
      <c r="E6" s="107" t="s">
        <v>104</v>
      </c>
      <c r="F6" s="108"/>
      <c r="G6" s="109"/>
    </row>
    <row r="7" spans="1:7" ht="19.899999999999999" hidden="1">
      <c r="A7" s="104" t="s">
        <v>49</v>
      </c>
      <c r="B7" s="105"/>
      <c r="C7" s="37" t="s">
        <v>26</v>
      </c>
      <c r="D7" s="106"/>
      <c r="E7" s="107" t="s">
        <v>104</v>
      </c>
      <c r="F7" s="108"/>
      <c r="G7" s="109"/>
    </row>
    <row r="8" spans="1:7" ht="19.899999999999999" hidden="1">
      <c r="A8" s="104" t="s">
        <v>51</v>
      </c>
      <c r="B8" s="105" t="s">
        <v>109</v>
      </c>
      <c r="C8" s="37" t="s">
        <v>30</v>
      </c>
      <c r="D8" s="106"/>
      <c r="E8" s="107" t="s">
        <v>110</v>
      </c>
      <c r="F8" s="110">
        <v>20206953</v>
      </c>
      <c r="G8" s="109" t="s">
        <v>111</v>
      </c>
    </row>
    <row r="9" spans="1:7" ht="19.899999999999999" hidden="1">
      <c r="A9" s="104" t="s">
        <v>51</v>
      </c>
      <c r="B9" s="105" t="s">
        <v>109</v>
      </c>
      <c r="C9" s="37" t="s">
        <v>112</v>
      </c>
      <c r="D9" s="106"/>
      <c r="E9" s="107" t="s">
        <v>113</v>
      </c>
      <c r="F9" s="108"/>
      <c r="G9" s="109" t="s">
        <v>111</v>
      </c>
    </row>
    <row r="10" spans="1:7" ht="19.899999999999999" hidden="1">
      <c r="A10" s="104" t="s">
        <v>51</v>
      </c>
      <c r="B10" s="105" t="s">
        <v>109</v>
      </c>
      <c r="C10" s="37" t="s">
        <v>114</v>
      </c>
      <c r="D10" s="106"/>
      <c r="E10" s="107" t="s">
        <v>110</v>
      </c>
      <c r="F10" s="110">
        <v>9970025</v>
      </c>
      <c r="G10" s="109" t="s">
        <v>111</v>
      </c>
    </row>
    <row r="11" spans="1:7" ht="19.899999999999999" hidden="1">
      <c r="A11" s="104" t="s">
        <v>51</v>
      </c>
      <c r="B11" s="105" t="s">
        <v>109</v>
      </c>
      <c r="C11" s="37" t="s">
        <v>115</v>
      </c>
      <c r="D11" s="106"/>
      <c r="E11" s="107" t="s">
        <v>110</v>
      </c>
      <c r="F11" s="110">
        <v>10236928</v>
      </c>
      <c r="G11" s="109" t="s">
        <v>111</v>
      </c>
    </row>
    <row r="12" spans="1:7" ht="19.899999999999999" hidden="1">
      <c r="A12" s="104" t="s">
        <v>51</v>
      </c>
      <c r="B12" s="105" t="s">
        <v>109</v>
      </c>
      <c r="C12" s="37" t="s">
        <v>116</v>
      </c>
      <c r="D12" s="106"/>
      <c r="E12" s="107" t="s">
        <v>113</v>
      </c>
      <c r="F12" s="111">
        <v>0.87767499527569204</v>
      </c>
      <c r="G12" s="109" t="s">
        <v>117</v>
      </c>
    </row>
    <row r="13" spans="1:7" ht="19.899999999999999" hidden="1">
      <c r="A13" s="104" t="s">
        <v>51</v>
      </c>
      <c r="B13" s="105" t="s">
        <v>109</v>
      </c>
      <c r="C13" s="37" t="s">
        <v>118</v>
      </c>
      <c r="D13" s="106"/>
      <c r="E13" s="107" t="s">
        <v>113</v>
      </c>
      <c r="F13" s="111">
        <v>0.122325004724308</v>
      </c>
      <c r="G13" s="109" t="s">
        <v>117</v>
      </c>
    </row>
    <row r="14" spans="1:7" ht="19.899999999999999" hidden="1">
      <c r="A14" s="104" t="s">
        <v>51</v>
      </c>
      <c r="B14" s="105" t="s">
        <v>119</v>
      </c>
      <c r="C14" s="37" t="s">
        <v>120</v>
      </c>
      <c r="D14" s="106">
        <v>2024</v>
      </c>
      <c r="E14" s="107" t="s">
        <v>121</v>
      </c>
      <c r="F14" s="111"/>
      <c r="G14" s="109" t="s">
        <v>122</v>
      </c>
    </row>
    <row r="15" spans="1:7" ht="19.899999999999999" hidden="1">
      <c r="A15" s="104" t="s">
        <v>51</v>
      </c>
      <c r="B15" s="105" t="s">
        <v>119</v>
      </c>
      <c r="C15" s="37" t="s">
        <v>123</v>
      </c>
      <c r="D15" s="106">
        <v>2017</v>
      </c>
      <c r="E15" s="107" t="s">
        <v>121</v>
      </c>
      <c r="F15" s="111"/>
      <c r="G15" s="109" t="s">
        <v>122</v>
      </c>
    </row>
    <row r="16" spans="1:7" ht="19.899999999999999" hidden="1">
      <c r="A16" s="104" t="s">
        <v>51</v>
      </c>
      <c r="B16" s="105" t="s">
        <v>119</v>
      </c>
      <c r="C16" s="37" t="s">
        <v>124</v>
      </c>
      <c r="D16" s="106">
        <v>2002</v>
      </c>
      <c r="E16" s="107" t="s">
        <v>121</v>
      </c>
      <c r="F16" s="111"/>
      <c r="G16" s="109" t="s">
        <v>122</v>
      </c>
    </row>
    <row r="17" spans="1:7" ht="19.899999999999999" hidden="1">
      <c r="A17" s="104" t="s">
        <v>51</v>
      </c>
      <c r="B17" s="105" t="s">
        <v>125</v>
      </c>
      <c r="C17" s="37" t="s">
        <v>126</v>
      </c>
      <c r="D17" s="106"/>
      <c r="E17" s="107" t="s">
        <v>110</v>
      </c>
      <c r="F17" s="110">
        <v>3669787</v>
      </c>
      <c r="G17" s="109" t="s">
        <v>111</v>
      </c>
    </row>
    <row r="18" spans="1:7" ht="19.899999999999999" hidden="1">
      <c r="A18" s="104" t="s">
        <v>51</v>
      </c>
      <c r="B18" s="105" t="s">
        <v>125</v>
      </c>
      <c r="C18" s="37" t="s">
        <v>127</v>
      </c>
      <c r="D18" s="106"/>
      <c r="E18" s="107" t="s">
        <v>110</v>
      </c>
      <c r="F18" s="110">
        <v>13660930</v>
      </c>
      <c r="G18" s="109" t="s">
        <v>111</v>
      </c>
    </row>
    <row r="19" spans="1:7" ht="19.899999999999999" hidden="1">
      <c r="A19" s="104" t="s">
        <v>51</v>
      </c>
      <c r="B19" s="105" t="s">
        <v>125</v>
      </c>
      <c r="C19" s="37" t="s">
        <v>128</v>
      </c>
      <c r="D19" s="106"/>
      <c r="E19" s="107" t="s">
        <v>110</v>
      </c>
      <c r="F19" s="110">
        <v>2876236</v>
      </c>
      <c r="G19" s="109" t="s">
        <v>111</v>
      </c>
    </row>
    <row r="20" spans="1:7" ht="19.899999999999999" hidden="1">
      <c r="A20" s="104" t="s">
        <v>51</v>
      </c>
      <c r="B20" s="105" t="s">
        <v>125</v>
      </c>
      <c r="C20" s="37" t="s">
        <v>129</v>
      </c>
      <c r="D20" s="106"/>
      <c r="E20" s="107" t="s">
        <v>113</v>
      </c>
      <c r="F20" s="111">
        <v>0.18161011212328701</v>
      </c>
      <c r="G20" s="109" t="s">
        <v>111</v>
      </c>
    </row>
    <row r="21" spans="1:7" ht="19.899999999999999" hidden="1">
      <c r="A21" s="104" t="s">
        <v>51</v>
      </c>
      <c r="B21" s="105" t="s">
        <v>125</v>
      </c>
      <c r="C21" s="37" t="s">
        <v>130</v>
      </c>
      <c r="D21" s="106"/>
      <c r="E21" s="107" t="s">
        <v>113</v>
      </c>
      <c r="F21" s="111">
        <v>0.67605096127060804</v>
      </c>
      <c r="G21" s="109" t="s">
        <v>111</v>
      </c>
    </row>
    <row r="22" spans="1:7" ht="19.899999999999999" hidden="1">
      <c r="A22" s="104" t="s">
        <v>51</v>
      </c>
      <c r="B22" s="105" t="s">
        <v>125</v>
      </c>
      <c r="C22" s="37" t="s">
        <v>131</v>
      </c>
      <c r="D22" s="106"/>
      <c r="E22" s="107" t="s">
        <v>113</v>
      </c>
      <c r="F22" s="111">
        <v>0.142338926606104</v>
      </c>
      <c r="G22" s="109" t="s">
        <v>111</v>
      </c>
    </row>
    <row r="23" spans="1:7" ht="19.899999999999999" hidden="1">
      <c r="A23" s="104" t="s">
        <v>51</v>
      </c>
      <c r="B23" s="105" t="s">
        <v>132</v>
      </c>
      <c r="C23" s="37" t="s">
        <v>133</v>
      </c>
      <c r="D23" s="106">
        <v>2025</v>
      </c>
      <c r="E23" s="107" t="s">
        <v>134</v>
      </c>
      <c r="F23" s="108">
        <v>79</v>
      </c>
      <c r="G23" s="109" t="s">
        <v>135</v>
      </c>
    </row>
    <row r="24" spans="1:7" ht="19.899999999999999" hidden="1">
      <c r="A24" s="104" t="s">
        <v>51</v>
      </c>
      <c r="B24" s="105" t="s">
        <v>132</v>
      </c>
      <c r="C24" s="37" t="s">
        <v>136</v>
      </c>
      <c r="D24" s="106">
        <v>2025</v>
      </c>
      <c r="E24" s="107" t="s">
        <v>134</v>
      </c>
      <c r="F24" s="108">
        <v>85</v>
      </c>
      <c r="G24" s="109" t="s">
        <v>135</v>
      </c>
    </row>
    <row r="25" spans="1:7" ht="19.899999999999999" hidden="1">
      <c r="A25" s="104" t="s">
        <v>51</v>
      </c>
      <c r="B25" s="105" t="s">
        <v>132</v>
      </c>
      <c r="C25" s="37" t="s">
        <v>137</v>
      </c>
      <c r="D25" s="106">
        <v>2002</v>
      </c>
      <c r="E25" s="107" t="s">
        <v>134</v>
      </c>
      <c r="F25" s="108">
        <v>74</v>
      </c>
      <c r="G25" s="109" t="s">
        <v>135</v>
      </c>
    </row>
    <row r="26" spans="1:7" ht="19.899999999999999" hidden="1">
      <c r="A26" s="104" t="s">
        <v>51</v>
      </c>
      <c r="B26" s="105" t="s">
        <v>132</v>
      </c>
      <c r="C26" s="37" t="s">
        <v>138</v>
      </c>
      <c r="D26" s="106">
        <v>2002</v>
      </c>
      <c r="E26" s="107" t="s">
        <v>134</v>
      </c>
      <c r="F26" s="108">
        <v>80</v>
      </c>
      <c r="G26" s="109" t="s">
        <v>135</v>
      </c>
    </row>
    <row r="27" spans="1:7" ht="19.899999999999999" hidden="1">
      <c r="A27" s="104" t="s">
        <v>51</v>
      </c>
      <c r="B27" s="105" t="s">
        <v>139</v>
      </c>
      <c r="C27" s="37" t="s">
        <v>140</v>
      </c>
      <c r="D27" s="106">
        <v>1992</v>
      </c>
      <c r="E27" s="107" t="s">
        <v>113</v>
      </c>
      <c r="F27" s="112">
        <v>8.0000000000000002E-3</v>
      </c>
      <c r="G27" s="109" t="s">
        <v>141</v>
      </c>
    </row>
    <row r="28" spans="1:7" ht="19.899999999999999" hidden="1">
      <c r="A28" s="104" t="s">
        <v>51</v>
      </c>
      <c r="B28" s="105" t="s">
        <v>139</v>
      </c>
      <c r="C28" s="37" t="s">
        <v>142</v>
      </c>
      <c r="D28" s="106">
        <v>2002</v>
      </c>
      <c r="E28" s="107" t="s">
        <v>113</v>
      </c>
      <c r="F28" s="112">
        <v>1.2999999999999999E-2</v>
      </c>
      <c r="G28" s="109" t="s">
        <v>141</v>
      </c>
    </row>
    <row r="29" spans="1:7" ht="19.899999999999999" hidden="1">
      <c r="A29" s="104" t="s">
        <v>51</v>
      </c>
      <c r="B29" s="105" t="s">
        <v>139</v>
      </c>
      <c r="C29" s="37" t="s">
        <v>143</v>
      </c>
      <c r="D29" s="106">
        <v>2017</v>
      </c>
      <c r="E29" s="107" t="s">
        <v>113</v>
      </c>
      <c r="F29" s="112">
        <v>4.3999999999999997E-2</v>
      </c>
      <c r="G29" s="109" t="s">
        <v>141</v>
      </c>
    </row>
    <row r="30" spans="1:7" ht="19.899999999999999" hidden="1">
      <c r="A30" s="104" t="s">
        <v>51</v>
      </c>
      <c r="B30" s="105" t="s">
        <v>139</v>
      </c>
      <c r="C30" s="37" t="s">
        <v>144</v>
      </c>
      <c r="D30" s="106">
        <v>2024</v>
      </c>
      <c r="E30" s="107" t="s">
        <v>113</v>
      </c>
      <c r="F30" s="112">
        <v>8.7999999999999995E-2</v>
      </c>
      <c r="G30" s="109" t="s">
        <v>141</v>
      </c>
    </row>
    <row r="31" spans="1:7" ht="19.899999999999999" hidden="1">
      <c r="A31" s="104" t="s">
        <v>51</v>
      </c>
      <c r="B31" s="105" t="s">
        <v>139</v>
      </c>
      <c r="C31" s="37" t="s">
        <v>145</v>
      </c>
      <c r="D31" s="106">
        <v>2024</v>
      </c>
      <c r="E31" s="107" t="s">
        <v>104</v>
      </c>
      <c r="F31" s="112" t="s">
        <v>146</v>
      </c>
      <c r="G31" s="109" t="s">
        <v>141</v>
      </c>
    </row>
    <row r="32" spans="1:7" ht="19.899999999999999" hidden="1">
      <c r="A32" s="104" t="s">
        <v>51</v>
      </c>
      <c r="B32" s="105" t="s">
        <v>147</v>
      </c>
      <c r="C32" s="37" t="s">
        <v>148</v>
      </c>
      <c r="D32" s="106">
        <v>2023</v>
      </c>
      <c r="E32" s="107" t="s">
        <v>110</v>
      </c>
      <c r="F32" s="110">
        <v>1136104</v>
      </c>
      <c r="G32" s="109" t="s">
        <v>149</v>
      </c>
    </row>
    <row r="33" spans="1:7" ht="19.899999999999999" hidden="1">
      <c r="A33" s="104" t="s">
        <v>51</v>
      </c>
      <c r="B33" s="105" t="s">
        <v>147</v>
      </c>
      <c r="C33" s="37" t="s">
        <v>150</v>
      </c>
      <c r="D33" s="106">
        <v>2023</v>
      </c>
      <c r="E33" s="107" t="s">
        <v>113</v>
      </c>
      <c r="F33" s="111">
        <v>5.6223419730822399E-2</v>
      </c>
      <c r="G33" s="109" t="s">
        <v>149</v>
      </c>
    </row>
    <row r="34" spans="1:7" ht="19.899999999999999" hidden="1">
      <c r="A34" s="104" t="s">
        <v>51</v>
      </c>
      <c r="B34" s="105" t="s">
        <v>147</v>
      </c>
      <c r="C34" s="37" t="s">
        <v>151</v>
      </c>
      <c r="D34" s="106">
        <v>2023</v>
      </c>
      <c r="E34" s="107" t="s">
        <v>110</v>
      </c>
      <c r="F34" s="110">
        <v>336984</v>
      </c>
      <c r="G34" s="109" t="s">
        <v>149</v>
      </c>
    </row>
    <row r="35" spans="1:7" ht="19.899999999999999" hidden="1">
      <c r="A35" s="104" t="s">
        <v>51</v>
      </c>
      <c r="B35" s="105" t="s">
        <v>147</v>
      </c>
      <c r="C35" s="37" t="s">
        <v>152</v>
      </c>
      <c r="D35" s="106">
        <v>2023</v>
      </c>
      <c r="E35" s="107" t="s">
        <v>110</v>
      </c>
      <c r="F35" s="110">
        <v>799120</v>
      </c>
      <c r="G35" s="109" t="s">
        <v>149</v>
      </c>
    </row>
    <row r="36" spans="1:7" ht="19.899999999999999" hidden="1">
      <c r="A36" s="104" t="s">
        <v>51</v>
      </c>
      <c r="B36" s="105" t="s">
        <v>147</v>
      </c>
      <c r="C36" s="37" t="s">
        <v>153</v>
      </c>
      <c r="D36" s="106">
        <v>2023</v>
      </c>
      <c r="E36" s="107" t="s">
        <v>113</v>
      </c>
      <c r="F36" s="111"/>
      <c r="G36" s="109" t="s">
        <v>149</v>
      </c>
    </row>
    <row r="37" spans="1:7" ht="19.899999999999999" hidden="1">
      <c r="A37" s="104" t="s">
        <v>51</v>
      </c>
      <c r="B37" s="105" t="s">
        <v>147</v>
      </c>
      <c r="C37" s="37" t="s">
        <v>154</v>
      </c>
      <c r="D37" s="106">
        <v>2023</v>
      </c>
      <c r="E37" s="107" t="s">
        <v>113</v>
      </c>
      <c r="F37" s="111"/>
      <c r="G37" s="109" t="s">
        <v>149</v>
      </c>
    </row>
    <row r="38" spans="1:7" ht="19.899999999999999" hidden="1">
      <c r="A38" s="104" t="s">
        <v>51</v>
      </c>
      <c r="B38" s="105" t="s">
        <v>155</v>
      </c>
      <c r="C38" s="37" t="s">
        <v>156</v>
      </c>
      <c r="D38" s="106">
        <v>2024</v>
      </c>
      <c r="E38" s="107" t="s">
        <v>110</v>
      </c>
      <c r="F38" s="110">
        <v>2105863</v>
      </c>
      <c r="G38" s="109" t="s">
        <v>141</v>
      </c>
    </row>
    <row r="39" spans="1:7" ht="19.899999999999999" hidden="1">
      <c r="A39" s="104" t="s">
        <v>51</v>
      </c>
      <c r="B39" s="105" t="s">
        <v>155</v>
      </c>
      <c r="C39" s="37" t="s">
        <v>157</v>
      </c>
      <c r="D39" s="106">
        <v>2024</v>
      </c>
      <c r="E39" s="107" t="s">
        <v>113</v>
      </c>
      <c r="F39" s="111">
        <v>0.115</v>
      </c>
      <c r="G39" s="109" t="s">
        <v>141</v>
      </c>
    </row>
    <row r="40" spans="1:7" ht="19.899999999999999" hidden="1">
      <c r="A40" s="104" t="s">
        <v>51</v>
      </c>
      <c r="B40" s="105" t="s">
        <v>158</v>
      </c>
      <c r="C40" s="37" t="s">
        <v>159</v>
      </c>
      <c r="D40" s="106">
        <v>2024</v>
      </c>
      <c r="E40" s="107" t="s">
        <v>113</v>
      </c>
      <c r="F40" s="112">
        <v>0.111</v>
      </c>
      <c r="G40" s="109" t="s">
        <v>141</v>
      </c>
    </row>
    <row r="41" spans="1:7" ht="19.899999999999999" hidden="1">
      <c r="A41" s="104" t="s">
        <v>51</v>
      </c>
      <c r="B41" s="105" t="s">
        <v>158</v>
      </c>
      <c r="C41" s="37" t="s">
        <v>160</v>
      </c>
      <c r="D41" s="106">
        <v>2024</v>
      </c>
      <c r="E41" s="107" t="s">
        <v>113</v>
      </c>
      <c r="F41" s="112">
        <v>1E-3</v>
      </c>
      <c r="G41" s="109" t="s">
        <v>141</v>
      </c>
    </row>
    <row r="42" spans="1:7" ht="19.899999999999999" hidden="1">
      <c r="A42" s="104" t="s">
        <v>51</v>
      </c>
      <c r="B42" s="105" t="s">
        <v>158</v>
      </c>
      <c r="C42" s="37" t="s">
        <v>161</v>
      </c>
      <c r="D42" s="106">
        <v>2024</v>
      </c>
      <c r="E42" s="107" t="s">
        <v>113</v>
      </c>
      <c r="F42" s="112">
        <v>4.0000000000000001E-3</v>
      </c>
      <c r="G42" s="109" t="s">
        <v>141</v>
      </c>
    </row>
    <row r="43" spans="1:7" ht="19.899999999999999" hidden="1">
      <c r="A43" s="104" t="s">
        <v>51</v>
      </c>
      <c r="B43" s="105" t="s">
        <v>162</v>
      </c>
      <c r="C43" s="37" t="s">
        <v>163</v>
      </c>
      <c r="D43" s="106">
        <v>2025</v>
      </c>
      <c r="E43" s="107" t="s">
        <v>162</v>
      </c>
      <c r="F43" s="110">
        <v>146446</v>
      </c>
      <c r="G43" s="109" t="s">
        <v>164</v>
      </c>
    </row>
    <row r="44" spans="1:7" ht="19.899999999999999" hidden="1">
      <c r="A44" s="104" t="s">
        <v>51</v>
      </c>
      <c r="B44" s="105" t="s">
        <v>162</v>
      </c>
      <c r="C44" s="37" t="s">
        <v>165</v>
      </c>
      <c r="D44" s="106">
        <v>2025</v>
      </c>
      <c r="E44" s="107" t="s">
        <v>113</v>
      </c>
      <c r="F44" s="110"/>
      <c r="G44" s="109" t="s">
        <v>164</v>
      </c>
    </row>
    <row r="45" spans="1:7" ht="19.899999999999999" hidden="1">
      <c r="A45" s="104" t="s">
        <v>51</v>
      </c>
      <c r="B45" s="105" t="s">
        <v>162</v>
      </c>
      <c r="C45" s="37" t="s">
        <v>166</v>
      </c>
      <c r="D45" s="106">
        <v>2025</v>
      </c>
      <c r="E45" s="107" t="s">
        <v>162</v>
      </c>
      <c r="F45" s="110">
        <v>117593</v>
      </c>
      <c r="G45" s="109" t="s">
        <v>164</v>
      </c>
    </row>
    <row r="46" spans="1:7" ht="19.899999999999999" hidden="1">
      <c r="A46" s="104" t="s">
        <v>51</v>
      </c>
      <c r="B46" s="105" t="s">
        <v>162</v>
      </c>
      <c r="C46" s="37" t="s">
        <v>167</v>
      </c>
      <c r="D46" s="106">
        <v>2025</v>
      </c>
      <c r="E46" s="107" t="s">
        <v>113</v>
      </c>
      <c r="F46" s="113">
        <v>0.80297857230651604</v>
      </c>
      <c r="G46" s="109" t="s">
        <v>164</v>
      </c>
    </row>
    <row r="47" spans="1:7" ht="19.899999999999999" hidden="1">
      <c r="A47" s="104" t="s">
        <v>51</v>
      </c>
      <c r="B47" s="105" t="s">
        <v>162</v>
      </c>
      <c r="C47" s="37" t="s">
        <v>168</v>
      </c>
      <c r="D47" s="106">
        <v>2025</v>
      </c>
      <c r="E47" s="107" t="s">
        <v>162</v>
      </c>
      <c r="F47" s="110">
        <v>28853</v>
      </c>
      <c r="G47" s="109" t="s">
        <v>164</v>
      </c>
    </row>
    <row r="48" spans="1:7" ht="19.899999999999999" hidden="1">
      <c r="A48" s="104" t="s">
        <v>51</v>
      </c>
      <c r="B48" s="105" t="s">
        <v>162</v>
      </c>
      <c r="C48" s="37" t="s">
        <v>169</v>
      </c>
      <c r="D48" s="106">
        <v>2025</v>
      </c>
      <c r="E48" s="107" t="s">
        <v>113</v>
      </c>
      <c r="F48" s="113">
        <v>0.19702142769348399</v>
      </c>
      <c r="G48" s="109" t="s">
        <v>164</v>
      </c>
    </row>
    <row r="49" spans="1:7" ht="19.899999999999999" hidden="1">
      <c r="A49" s="104" t="s">
        <v>51</v>
      </c>
      <c r="B49" s="105" t="s">
        <v>162</v>
      </c>
      <c r="C49" s="37" t="s">
        <v>170</v>
      </c>
      <c r="D49" s="106">
        <v>2024</v>
      </c>
      <c r="E49" s="107" t="s">
        <v>162</v>
      </c>
      <c r="F49" s="110">
        <v>154441</v>
      </c>
      <c r="G49" s="109" t="s">
        <v>164</v>
      </c>
    </row>
    <row r="50" spans="1:7" ht="19.899999999999999" hidden="1">
      <c r="A50" s="104" t="s">
        <v>51</v>
      </c>
      <c r="B50" s="105" t="s">
        <v>162</v>
      </c>
      <c r="C50" s="37" t="s">
        <v>171</v>
      </c>
      <c r="D50" s="106">
        <v>2023</v>
      </c>
      <c r="E50" s="107" t="s">
        <v>162</v>
      </c>
      <c r="F50" s="110">
        <v>171992</v>
      </c>
      <c r="G50" s="109" t="s">
        <v>164</v>
      </c>
    </row>
    <row r="51" spans="1:7" ht="19.899999999999999" hidden="1">
      <c r="A51" s="104" t="s">
        <v>51</v>
      </c>
      <c r="B51" s="105" t="s">
        <v>162</v>
      </c>
      <c r="C51" s="37" t="s">
        <v>172</v>
      </c>
      <c r="D51" s="106">
        <v>2022</v>
      </c>
      <c r="E51" s="107" t="s">
        <v>162</v>
      </c>
      <c r="F51" s="110">
        <v>189310</v>
      </c>
      <c r="G51" s="109" t="s">
        <v>164</v>
      </c>
    </row>
    <row r="52" spans="1:7" ht="19.899999999999999" hidden="1">
      <c r="A52" s="104" t="s">
        <v>51</v>
      </c>
      <c r="B52" s="105" t="s">
        <v>162</v>
      </c>
      <c r="C52" s="37" t="s">
        <v>173</v>
      </c>
      <c r="D52" s="106">
        <v>2021</v>
      </c>
      <c r="E52" s="107" t="s">
        <v>162</v>
      </c>
      <c r="F52" s="110">
        <v>177467</v>
      </c>
      <c r="G52" s="109" t="s">
        <v>164</v>
      </c>
    </row>
    <row r="53" spans="1:7" ht="19.899999999999999" hidden="1">
      <c r="A53" s="104" t="s">
        <v>51</v>
      </c>
      <c r="B53" s="105" t="s">
        <v>162</v>
      </c>
      <c r="C53" s="37" t="s">
        <v>174</v>
      </c>
      <c r="D53" s="106">
        <v>2020</v>
      </c>
      <c r="E53" s="107" t="s">
        <v>162</v>
      </c>
      <c r="F53" s="110">
        <v>195231</v>
      </c>
      <c r="G53" s="109" t="s">
        <v>164</v>
      </c>
    </row>
    <row r="54" spans="1:7" ht="19.899999999999999" hidden="1">
      <c r="A54" s="104" t="s">
        <v>51</v>
      </c>
      <c r="B54" s="105" t="s">
        <v>175</v>
      </c>
      <c r="C54" s="37" t="s">
        <v>176</v>
      </c>
      <c r="D54" s="106">
        <v>2025</v>
      </c>
      <c r="E54" s="107" t="s">
        <v>175</v>
      </c>
      <c r="F54" s="114">
        <v>126428</v>
      </c>
      <c r="G54" s="109" t="s">
        <v>164</v>
      </c>
    </row>
    <row r="55" spans="1:7" ht="19.899999999999999" hidden="1">
      <c r="A55" s="104" t="s">
        <v>51</v>
      </c>
      <c r="B55" s="105" t="s">
        <v>175</v>
      </c>
      <c r="C55" s="37" t="s">
        <v>177</v>
      </c>
      <c r="D55" s="106">
        <v>2025</v>
      </c>
      <c r="E55" s="107" t="s">
        <v>113</v>
      </c>
      <c r="F55" s="110"/>
      <c r="G55" s="109" t="s">
        <v>164</v>
      </c>
    </row>
    <row r="56" spans="1:7" ht="19.899999999999999" hidden="1">
      <c r="A56" s="104" t="s">
        <v>51</v>
      </c>
      <c r="B56" s="105" t="s">
        <v>178</v>
      </c>
      <c r="C56" s="37" t="s">
        <v>179</v>
      </c>
      <c r="D56" s="106">
        <v>2025</v>
      </c>
      <c r="E56" s="107" t="s">
        <v>110</v>
      </c>
      <c r="F56" s="110">
        <v>20018</v>
      </c>
      <c r="G56" s="109" t="s">
        <v>164</v>
      </c>
    </row>
    <row r="57" spans="1:7" ht="19.899999999999999" hidden="1">
      <c r="A57" s="104" t="s">
        <v>51</v>
      </c>
      <c r="B57" s="105" t="s">
        <v>175</v>
      </c>
      <c r="C57" s="37" t="s">
        <v>180</v>
      </c>
      <c r="D57" s="106">
        <v>2024</v>
      </c>
      <c r="E57" s="107" t="s">
        <v>175</v>
      </c>
      <c r="F57" s="114">
        <v>126883</v>
      </c>
      <c r="G57" s="109" t="s">
        <v>164</v>
      </c>
    </row>
    <row r="58" spans="1:7" ht="19.899999999999999" hidden="1">
      <c r="A58" s="104" t="s">
        <v>51</v>
      </c>
      <c r="B58" s="105" t="s">
        <v>175</v>
      </c>
      <c r="C58" s="37" t="s">
        <v>181</v>
      </c>
      <c r="D58" s="106">
        <v>2023</v>
      </c>
      <c r="E58" s="107" t="s">
        <v>175</v>
      </c>
      <c r="F58" s="114">
        <v>121270</v>
      </c>
      <c r="G58" s="109" t="s">
        <v>164</v>
      </c>
    </row>
    <row r="59" spans="1:7" ht="19.899999999999999" hidden="1">
      <c r="A59" s="104" t="s">
        <v>51</v>
      </c>
      <c r="B59" s="105" t="s">
        <v>175</v>
      </c>
      <c r="C59" s="37" t="s">
        <v>182</v>
      </c>
      <c r="D59" s="106">
        <v>2022</v>
      </c>
      <c r="E59" s="107" t="s">
        <v>175</v>
      </c>
      <c r="F59" s="114">
        <v>136958</v>
      </c>
      <c r="G59" s="109" t="s">
        <v>164</v>
      </c>
    </row>
    <row r="60" spans="1:7" ht="19.899999999999999" hidden="1">
      <c r="A60" s="104" t="s">
        <v>51</v>
      </c>
      <c r="B60" s="105" t="s">
        <v>175</v>
      </c>
      <c r="C60" s="37" t="s">
        <v>183</v>
      </c>
      <c r="D60" s="106">
        <v>2021</v>
      </c>
      <c r="E60" s="107" t="s">
        <v>175</v>
      </c>
      <c r="F60" s="114">
        <v>137629</v>
      </c>
      <c r="G60" s="109" t="s">
        <v>164</v>
      </c>
    </row>
    <row r="61" spans="1:7" ht="19.899999999999999" hidden="1">
      <c r="A61" s="104" t="s">
        <v>51</v>
      </c>
      <c r="B61" s="105" t="s">
        <v>175</v>
      </c>
      <c r="C61" s="37" t="s">
        <v>184</v>
      </c>
      <c r="D61" s="106">
        <v>2020</v>
      </c>
      <c r="E61" s="107" t="s">
        <v>175</v>
      </c>
      <c r="F61" s="110">
        <v>126169</v>
      </c>
      <c r="G61" s="109" t="s">
        <v>164</v>
      </c>
    </row>
    <row r="62" spans="1:7" ht="19.899999999999999" hidden="1">
      <c r="A62" s="104" t="s">
        <v>51</v>
      </c>
      <c r="B62" s="105" t="s">
        <v>185</v>
      </c>
      <c r="C62" s="37" t="s">
        <v>186</v>
      </c>
      <c r="D62" s="106">
        <v>2025</v>
      </c>
      <c r="E62" s="107" t="s">
        <v>187</v>
      </c>
      <c r="F62" s="110">
        <v>60293</v>
      </c>
      <c r="G62" s="109" t="s">
        <v>164</v>
      </c>
    </row>
    <row r="63" spans="1:7" ht="19.899999999999999" hidden="1">
      <c r="A63" s="104" t="s">
        <v>51</v>
      </c>
      <c r="B63" s="105" t="s">
        <v>185</v>
      </c>
      <c r="C63" s="37" t="s">
        <v>188</v>
      </c>
      <c r="D63" s="106">
        <v>2025</v>
      </c>
      <c r="E63" s="107" t="s">
        <v>189</v>
      </c>
      <c r="F63" s="114">
        <v>19700</v>
      </c>
      <c r="G63" s="109" t="s">
        <v>164</v>
      </c>
    </row>
    <row r="64" spans="1:7" ht="19.899999999999999" hidden="1">
      <c r="A64" s="104" t="s">
        <v>51</v>
      </c>
      <c r="B64" s="105" t="s">
        <v>185</v>
      </c>
      <c r="C64" s="37" t="s">
        <v>190</v>
      </c>
      <c r="D64" s="106">
        <v>2025</v>
      </c>
      <c r="E64" s="107" t="s">
        <v>191</v>
      </c>
      <c r="F64" s="110">
        <v>79993</v>
      </c>
      <c r="G64" s="109" t="s">
        <v>164</v>
      </c>
    </row>
    <row r="65" spans="1:7" ht="19.899999999999999" hidden="1">
      <c r="A65" s="104" t="s">
        <v>51</v>
      </c>
      <c r="B65" s="105" t="s">
        <v>185</v>
      </c>
      <c r="C65" s="37" t="s">
        <v>192</v>
      </c>
      <c r="D65" s="106">
        <v>2025</v>
      </c>
      <c r="E65" s="107" t="s">
        <v>113</v>
      </c>
      <c r="F65" s="110"/>
      <c r="G65" s="109" t="s">
        <v>164</v>
      </c>
    </row>
    <row r="66" spans="1:7" ht="19.899999999999999" hidden="1">
      <c r="A66" s="104" t="s">
        <v>51</v>
      </c>
      <c r="B66" s="105" t="s">
        <v>185</v>
      </c>
      <c r="C66" s="37" t="s">
        <v>193</v>
      </c>
      <c r="D66" s="106">
        <v>2024</v>
      </c>
      <c r="E66" s="107" t="s">
        <v>187</v>
      </c>
      <c r="F66" s="110">
        <v>61119</v>
      </c>
      <c r="G66" s="109" t="s">
        <v>164</v>
      </c>
    </row>
    <row r="67" spans="1:7" ht="19.899999999999999" hidden="1">
      <c r="A67" s="104" t="s">
        <v>51</v>
      </c>
      <c r="B67" s="105" t="s">
        <v>185</v>
      </c>
      <c r="C67" s="37" t="s">
        <v>194</v>
      </c>
      <c r="D67" s="106">
        <v>2023</v>
      </c>
      <c r="E67" s="107" t="s">
        <v>187</v>
      </c>
      <c r="F67" s="110">
        <v>64285</v>
      </c>
      <c r="G67" s="109" t="s">
        <v>164</v>
      </c>
    </row>
    <row r="68" spans="1:7" ht="19.899999999999999" hidden="1">
      <c r="A68" s="104" t="s">
        <v>51</v>
      </c>
      <c r="B68" s="105" t="s">
        <v>185</v>
      </c>
      <c r="C68" s="37" t="s">
        <v>195</v>
      </c>
      <c r="D68" s="106">
        <v>2022</v>
      </c>
      <c r="E68" s="107" t="s">
        <v>187</v>
      </c>
      <c r="F68" s="110">
        <v>68482</v>
      </c>
      <c r="G68" s="109" t="s">
        <v>164</v>
      </c>
    </row>
    <row r="69" spans="1:7" ht="19.899999999999999" hidden="1">
      <c r="A69" s="104" t="s">
        <v>51</v>
      </c>
      <c r="B69" s="105" t="s">
        <v>185</v>
      </c>
      <c r="C69" s="37" t="s">
        <v>196</v>
      </c>
      <c r="D69" s="106">
        <v>2021</v>
      </c>
      <c r="E69" s="107" t="s">
        <v>187</v>
      </c>
      <c r="F69" s="110">
        <v>53255</v>
      </c>
      <c r="G69" s="109" t="s">
        <v>164</v>
      </c>
    </row>
    <row r="70" spans="1:7" ht="19.899999999999999" hidden="1">
      <c r="A70" s="104" t="s">
        <v>51</v>
      </c>
      <c r="B70" s="105" t="s">
        <v>185</v>
      </c>
      <c r="C70" s="37" t="s">
        <v>197</v>
      </c>
      <c r="D70" s="106">
        <v>2020</v>
      </c>
      <c r="E70" s="107" t="s">
        <v>187</v>
      </c>
      <c r="F70" s="110">
        <v>37647</v>
      </c>
      <c r="G70" s="109" t="s">
        <v>164</v>
      </c>
    </row>
    <row r="71" spans="1:7" ht="19.899999999999999" hidden="1">
      <c r="A71" s="104" t="s">
        <v>51</v>
      </c>
      <c r="B71" s="105" t="s">
        <v>185</v>
      </c>
      <c r="C71" s="37" t="s">
        <v>198</v>
      </c>
      <c r="D71" s="106">
        <v>2024</v>
      </c>
      <c r="E71" s="107" t="s">
        <v>189</v>
      </c>
      <c r="F71" s="110">
        <v>16266</v>
      </c>
      <c r="G71" s="109" t="s">
        <v>164</v>
      </c>
    </row>
    <row r="72" spans="1:7" ht="19.899999999999999" hidden="1">
      <c r="A72" s="104" t="s">
        <v>51</v>
      </c>
      <c r="B72" s="105" t="s">
        <v>185</v>
      </c>
      <c r="C72" s="37" t="s">
        <v>199</v>
      </c>
      <c r="D72" s="106">
        <v>2023</v>
      </c>
      <c r="E72" s="107" t="s">
        <v>189</v>
      </c>
      <c r="F72" s="110">
        <v>11745</v>
      </c>
      <c r="G72" s="109" t="s">
        <v>164</v>
      </c>
    </row>
    <row r="73" spans="1:7" ht="19.899999999999999" hidden="1">
      <c r="A73" s="104" t="s">
        <v>51</v>
      </c>
      <c r="B73" s="105" t="s">
        <v>185</v>
      </c>
      <c r="C73" s="37" t="s">
        <v>200</v>
      </c>
      <c r="D73" s="106">
        <v>2022</v>
      </c>
      <c r="E73" s="107" t="s">
        <v>189</v>
      </c>
      <c r="F73" s="110">
        <v>8917</v>
      </c>
      <c r="G73" s="109" t="s">
        <v>164</v>
      </c>
    </row>
    <row r="74" spans="1:7" ht="19.899999999999999" hidden="1">
      <c r="A74" s="104" t="s">
        <v>51</v>
      </c>
      <c r="B74" s="105" t="s">
        <v>185</v>
      </c>
      <c r="C74" s="37" t="s">
        <v>201</v>
      </c>
      <c r="D74" s="106">
        <v>2021</v>
      </c>
      <c r="E74" s="107" t="s">
        <v>189</v>
      </c>
      <c r="F74" s="110">
        <v>8661</v>
      </c>
      <c r="G74" s="109" t="s">
        <v>164</v>
      </c>
    </row>
    <row r="75" spans="1:7" ht="19.899999999999999" hidden="1">
      <c r="A75" s="104" t="s">
        <v>51</v>
      </c>
      <c r="B75" s="105" t="s">
        <v>185</v>
      </c>
      <c r="C75" s="37" t="s">
        <v>202</v>
      </c>
      <c r="D75" s="106">
        <v>2020</v>
      </c>
      <c r="E75" s="107" t="s">
        <v>189</v>
      </c>
      <c r="F75" s="110">
        <v>5328</v>
      </c>
      <c r="G75" s="109" t="s">
        <v>164</v>
      </c>
    </row>
    <row r="76" spans="1:7" ht="19.899999999999999" hidden="1">
      <c r="A76" s="104" t="s">
        <v>51</v>
      </c>
      <c r="B76" s="105" t="s">
        <v>203</v>
      </c>
      <c r="C76" s="37" t="s">
        <v>204</v>
      </c>
      <c r="D76" s="106">
        <v>2025</v>
      </c>
      <c r="E76" s="107" t="s">
        <v>205</v>
      </c>
      <c r="F76" s="115">
        <v>7.2</v>
      </c>
      <c r="G76" s="109" t="s">
        <v>164</v>
      </c>
    </row>
    <row r="77" spans="1:7" ht="19.899999999999999" hidden="1">
      <c r="A77" s="104" t="s">
        <v>51</v>
      </c>
      <c r="B77" s="105" t="s">
        <v>203</v>
      </c>
      <c r="C77" s="37" t="s">
        <v>31</v>
      </c>
      <c r="D77" s="106">
        <v>2025</v>
      </c>
      <c r="E77" s="107" t="s">
        <v>206</v>
      </c>
      <c r="F77" s="115">
        <v>0.99</v>
      </c>
      <c r="G77" s="109" t="s">
        <v>164</v>
      </c>
    </row>
    <row r="78" spans="1:7" ht="19.899999999999999" hidden="1">
      <c r="A78" s="104" t="s">
        <v>51</v>
      </c>
      <c r="B78" s="105" t="s">
        <v>203</v>
      </c>
      <c r="C78" s="37" t="s">
        <v>207</v>
      </c>
      <c r="D78" s="106">
        <v>2024</v>
      </c>
      <c r="E78" s="107" t="s">
        <v>205</v>
      </c>
      <c r="F78" s="115">
        <v>7.7</v>
      </c>
      <c r="G78" s="109" t="s">
        <v>164</v>
      </c>
    </row>
    <row r="79" spans="1:7" ht="19.899999999999999" hidden="1">
      <c r="A79" s="104" t="s">
        <v>51</v>
      </c>
      <c r="B79" s="105" t="s">
        <v>203</v>
      </c>
      <c r="C79" s="37" t="s">
        <v>208</v>
      </c>
      <c r="D79" s="106">
        <v>2023</v>
      </c>
      <c r="E79" s="107" t="s">
        <v>205</v>
      </c>
      <c r="F79" s="115">
        <v>8.6999999999999993</v>
      </c>
      <c r="G79" s="109" t="s">
        <v>164</v>
      </c>
    </row>
    <row r="80" spans="1:7" ht="19.899999999999999" hidden="1">
      <c r="A80" s="104" t="s">
        <v>51</v>
      </c>
      <c r="B80" s="105" t="s">
        <v>203</v>
      </c>
      <c r="C80" s="37" t="s">
        <v>209</v>
      </c>
      <c r="D80" s="106">
        <v>2022</v>
      </c>
      <c r="E80" s="107" t="s">
        <v>205</v>
      </c>
      <c r="F80" s="115">
        <v>9.6</v>
      </c>
      <c r="G80" s="109" t="s">
        <v>164</v>
      </c>
    </row>
    <row r="81" spans="1:7" ht="19.899999999999999" hidden="1">
      <c r="A81" s="104" t="s">
        <v>51</v>
      </c>
      <c r="B81" s="105" t="s">
        <v>203</v>
      </c>
      <c r="C81" s="37" t="s">
        <v>210</v>
      </c>
      <c r="D81" s="106">
        <v>2021</v>
      </c>
      <c r="E81" s="107" t="s">
        <v>205</v>
      </c>
      <c r="F81" s="115">
        <v>9</v>
      </c>
      <c r="G81" s="109" t="s">
        <v>164</v>
      </c>
    </row>
    <row r="82" spans="1:7" ht="39.6" hidden="1">
      <c r="A82" s="104" t="s">
        <v>51</v>
      </c>
      <c r="B82" s="105" t="s">
        <v>203</v>
      </c>
      <c r="C82" s="37" t="s">
        <v>211</v>
      </c>
      <c r="D82" s="106">
        <v>2021</v>
      </c>
      <c r="E82" s="107" t="s">
        <v>205</v>
      </c>
      <c r="F82" s="115">
        <v>10</v>
      </c>
      <c r="G82" s="109" t="s">
        <v>164</v>
      </c>
    </row>
    <row r="83" spans="1:7" ht="19.899999999999999" hidden="1">
      <c r="A83" s="104" t="s">
        <v>51</v>
      </c>
      <c r="B83" s="105" t="s">
        <v>203</v>
      </c>
      <c r="C83" s="37" t="s">
        <v>212</v>
      </c>
      <c r="D83" s="106">
        <v>2024</v>
      </c>
      <c r="E83" s="107" t="s">
        <v>206</v>
      </c>
      <c r="F83" s="115">
        <v>1.03</v>
      </c>
      <c r="G83" s="109" t="s">
        <v>164</v>
      </c>
    </row>
    <row r="84" spans="1:7" ht="19.899999999999999" hidden="1">
      <c r="A84" s="104" t="s">
        <v>51</v>
      </c>
      <c r="B84" s="105" t="s">
        <v>203</v>
      </c>
      <c r="C84" s="37" t="s">
        <v>213</v>
      </c>
      <c r="D84" s="106">
        <v>2023</v>
      </c>
      <c r="E84" s="107" t="s">
        <v>206</v>
      </c>
      <c r="F84" s="115">
        <v>1.1599999999999999</v>
      </c>
      <c r="G84" s="109" t="s">
        <v>164</v>
      </c>
    </row>
    <row r="85" spans="1:7" ht="19.899999999999999" hidden="1">
      <c r="A85" s="104" t="s">
        <v>51</v>
      </c>
      <c r="B85" s="105" t="s">
        <v>203</v>
      </c>
      <c r="C85" s="37" t="s">
        <v>214</v>
      </c>
      <c r="D85" s="106">
        <v>2022</v>
      </c>
      <c r="E85" s="107" t="s">
        <v>206</v>
      </c>
      <c r="F85" s="115">
        <v>1.3</v>
      </c>
      <c r="G85" s="109" t="s">
        <v>164</v>
      </c>
    </row>
    <row r="86" spans="1:7" ht="19.899999999999999" hidden="1">
      <c r="A86" s="104" t="s">
        <v>51</v>
      </c>
      <c r="B86" s="105" t="s">
        <v>203</v>
      </c>
      <c r="C86" s="37" t="s">
        <v>215</v>
      </c>
      <c r="D86" s="106">
        <v>2021</v>
      </c>
      <c r="E86" s="107" t="s">
        <v>206</v>
      </c>
      <c r="F86" s="115">
        <v>1.1739999999999999</v>
      </c>
      <c r="G86" s="109" t="s">
        <v>164</v>
      </c>
    </row>
    <row r="87" spans="1:7" ht="19.899999999999999" hidden="1">
      <c r="A87" s="104" t="s">
        <v>51</v>
      </c>
      <c r="B87" s="105" t="s">
        <v>216</v>
      </c>
      <c r="C87" s="37" t="s">
        <v>217</v>
      </c>
      <c r="D87" s="106">
        <v>2024</v>
      </c>
      <c r="E87" s="107" t="s">
        <v>218</v>
      </c>
      <c r="F87" s="116">
        <v>79</v>
      </c>
      <c r="G87" s="109" t="s">
        <v>141</v>
      </c>
    </row>
    <row r="88" spans="1:7" ht="19.899999999999999" hidden="1">
      <c r="A88" s="104" t="s">
        <v>53</v>
      </c>
      <c r="B88" s="105" t="s">
        <v>219</v>
      </c>
      <c r="C88" s="37" t="s">
        <v>220</v>
      </c>
      <c r="D88" s="106">
        <v>2025</v>
      </c>
      <c r="E88" s="107" t="s">
        <v>221</v>
      </c>
      <c r="F88" s="117">
        <v>197978</v>
      </c>
      <c r="G88" s="109" t="s">
        <v>222</v>
      </c>
    </row>
    <row r="89" spans="1:7" ht="19.899999999999999" hidden="1">
      <c r="A89" s="104" t="s">
        <v>53</v>
      </c>
      <c r="B89" s="105" t="s">
        <v>219</v>
      </c>
      <c r="C89" s="37" t="s">
        <v>223</v>
      </c>
      <c r="D89" s="106">
        <v>2025</v>
      </c>
      <c r="E89" s="107" t="s">
        <v>221</v>
      </c>
      <c r="F89" s="117">
        <v>7188</v>
      </c>
      <c r="G89" s="109" t="s">
        <v>222</v>
      </c>
    </row>
    <row r="90" spans="1:7" ht="19.899999999999999" hidden="1">
      <c r="A90" s="104" t="s">
        <v>53</v>
      </c>
      <c r="B90" s="105" t="s">
        <v>219</v>
      </c>
      <c r="C90" s="37" t="s">
        <v>224</v>
      </c>
      <c r="D90" s="106">
        <v>2025</v>
      </c>
      <c r="E90" s="107" t="s">
        <v>221</v>
      </c>
      <c r="F90" s="117">
        <v>1534</v>
      </c>
      <c r="G90" s="109" t="s">
        <v>222</v>
      </c>
    </row>
    <row r="91" spans="1:7" ht="19.899999999999999" hidden="1">
      <c r="A91" s="104" t="s">
        <v>53</v>
      </c>
      <c r="B91" s="105" t="s">
        <v>219</v>
      </c>
      <c r="C91" s="37" t="s">
        <v>225</v>
      </c>
      <c r="D91" s="106">
        <v>2025</v>
      </c>
      <c r="E91" s="107" t="s">
        <v>221</v>
      </c>
      <c r="F91" s="117">
        <v>15133</v>
      </c>
      <c r="G91" s="109" t="s">
        <v>222</v>
      </c>
    </row>
    <row r="92" spans="1:7" ht="19.899999999999999" hidden="1">
      <c r="A92" s="104" t="s">
        <v>53</v>
      </c>
      <c r="B92" s="105" t="s">
        <v>219</v>
      </c>
      <c r="C92" s="37" t="s">
        <v>226</v>
      </c>
      <c r="D92" s="106">
        <v>2025</v>
      </c>
      <c r="E92" s="107" t="s">
        <v>221</v>
      </c>
      <c r="F92" s="117">
        <v>19570</v>
      </c>
      <c r="G92" s="109" t="s">
        <v>222</v>
      </c>
    </row>
    <row r="93" spans="1:7" ht="19.899999999999999" hidden="1">
      <c r="A93" s="104" t="s">
        <v>53</v>
      </c>
      <c r="B93" s="105" t="s">
        <v>219</v>
      </c>
      <c r="C93" s="37" t="s">
        <v>227</v>
      </c>
      <c r="D93" s="106">
        <v>2025</v>
      </c>
      <c r="E93" s="107" t="s">
        <v>221</v>
      </c>
      <c r="F93" s="117">
        <v>8202</v>
      </c>
      <c r="G93" s="109" t="s">
        <v>222</v>
      </c>
    </row>
    <row r="94" spans="1:7" ht="19.899999999999999" hidden="1">
      <c r="A94" s="104" t="s">
        <v>53</v>
      </c>
      <c r="B94" s="105" t="s">
        <v>219</v>
      </c>
      <c r="C94" s="37" t="s">
        <v>228</v>
      </c>
      <c r="D94" s="106">
        <v>2025</v>
      </c>
      <c r="E94" s="107" t="s">
        <v>221</v>
      </c>
      <c r="F94" s="117">
        <v>12589</v>
      </c>
      <c r="G94" s="109" t="s">
        <v>222</v>
      </c>
    </row>
    <row r="95" spans="1:7" ht="19.899999999999999" hidden="1">
      <c r="A95" s="104" t="s">
        <v>53</v>
      </c>
      <c r="B95" s="105" t="s">
        <v>219</v>
      </c>
      <c r="C95" s="37" t="s">
        <v>229</v>
      </c>
      <c r="D95" s="106">
        <v>2025</v>
      </c>
      <c r="E95" s="107" t="s">
        <v>221</v>
      </c>
      <c r="F95" s="117">
        <v>20959</v>
      </c>
      <c r="G95" s="109" t="s">
        <v>222</v>
      </c>
    </row>
    <row r="96" spans="1:7" ht="19.899999999999999" hidden="1">
      <c r="A96" s="104" t="s">
        <v>53</v>
      </c>
      <c r="B96" s="105" t="s">
        <v>219</v>
      </c>
      <c r="C96" s="37" t="s">
        <v>230</v>
      </c>
      <c r="D96" s="106">
        <v>2025</v>
      </c>
      <c r="E96" s="107" t="s">
        <v>221</v>
      </c>
      <c r="F96" s="117">
        <v>4152</v>
      </c>
      <c r="G96" s="109" t="s">
        <v>222</v>
      </c>
    </row>
    <row r="97" spans="1:7" ht="19.899999999999999" hidden="1">
      <c r="A97" s="104" t="s">
        <v>53</v>
      </c>
      <c r="B97" s="105" t="s">
        <v>219</v>
      </c>
      <c r="C97" s="37" t="s">
        <v>231</v>
      </c>
      <c r="D97" s="106">
        <v>2025</v>
      </c>
      <c r="E97" s="107" t="s">
        <v>221</v>
      </c>
      <c r="F97" s="117">
        <v>20872</v>
      </c>
      <c r="G97" s="109" t="s">
        <v>222</v>
      </c>
    </row>
    <row r="98" spans="1:7" ht="19.899999999999999" hidden="1">
      <c r="A98" s="104" t="s">
        <v>53</v>
      </c>
      <c r="B98" s="105" t="s">
        <v>219</v>
      </c>
      <c r="C98" s="37" t="s">
        <v>232</v>
      </c>
      <c r="D98" s="106">
        <v>2025</v>
      </c>
      <c r="E98" s="107" t="s">
        <v>221</v>
      </c>
      <c r="F98" s="117">
        <v>31265</v>
      </c>
      <c r="G98" s="109" t="s">
        <v>222</v>
      </c>
    </row>
    <row r="99" spans="1:7" ht="19.899999999999999" hidden="1">
      <c r="A99" s="104" t="s">
        <v>53</v>
      </c>
      <c r="B99" s="105" t="s">
        <v>219</v>
      </c>
      <c r="C99" s="37" t="s">
        <v>233</v>
      </c>
      <c r="D99" s="106">
        <v>2025</v>
      </c>
      <c r="E99" s="107" t="s">
        <v>221</v>
      </c>
      <c r="F99" s="117">
        <v>16816</v>
      </c>
      <c r="G99" s="109" t="s">
        <v>222</v>
      </c>
    </row>
    <row r="100" spans="1:7" ht="19.899999999999999" hidden="1">
      <c r="A100" s="104" t="s">
        <v>53</v>
      </c>
      <c r="B100" s="105" t="s">
        <v>219</v>
      </c>
      <c r="C100" s="37" t="s">
        <v>234</v>
      </c>
      <c r="D100" s="106">
        <v>2025</v>
      </c>
      <c r="E100" s="107" t="s">
        <v>221</v>
      </c>
      <c r="F100" s="117">
        <v>29402</v>
      </c>
      <c r="G100" s="109" t="s">
        <v>222</v>
      </c>
    </row>
    <row r="101" spans="1:7" ht="19.899999999999999">
      <c r="A101" s="104" t="s">
        <v>53</v>
      </c>
      <c r="B101" s="105" t="s">
        <v>219</v>
      </c>
      <c r="C101" s="37" t="s">
        <v>235</v>
      </c>
      <c r="D101" s="106">
        <v>2025</v>
      </c>
      <c r="E101" s="107" t="s">
        <v>221</v>
      </c>
      <c r="F101" s="117">
        <v>10296</v>
      </c>
      <c r="G101" s="109" t="s">
        <v>222</v>
      </c>
    </row>
    <row r="102" spans="1:7" ht="19.899999999999999" hidden="1">
      <c r="A102" s="104" t="s">
        <v>53</v>
      </c>
      <c r="B102" s="105" t="s">
        <v>236</v>
      </c>
      <c r="C102" s="37" t="s">
        <v>237</v>
      </c>
      <c r="D102" s="106">
        <v>2025</v>
      </c>
      <c r="E102" s="107" t="s">
        <v>113</v>
      </c>
      <c r="F102" s="111">
        <v>3.6307064421299301E-2</v>
      </c>
      <c r="G102" s="109" t="s">
        <v>222</v>
      </c>
    </row>
    <row r="103" spans="1:7" ht="19.899999999999999" hidden="1">
      <c r="A103" s="104" t="s">
        <v>53</v>
      </c>
      <c r="B103" s="105" t="s">
        <v>236</v>
      </c>
      <c r="C103" s="37" t="s">
        <v>238</v>
      </c>
      <c r="D103" s="106">
        <v>2025</v>
      </c>
      <c r="E103" s="107" t="s">
        <v>113</v>
      </c>
      <c r="F103" s="111">
        <v>7.74833567366071E-3</v>
      </c>
      <c r="G103" s="109" t="s">
        <v>222</v>
      </c>
    </row>
    <row r="104" spans="1:7" ht="19.899999999999999" hidden="1">
      <c r="A104" s="104" t="s">
        <v>53</v>
      </c>
      <c r="B104" s="105" t="s">
        <v>236</v>
      </c>
      <c r="C104" s="37" t="s">
        <v>239</v>
      </c>
      <c r="D104" s="106">
        <v>2025</v>
      </c>
      <c r="E104" s="107" t="s">
        <v>113</v>
      </c>
      <c r="F104" s="111">
        <v>7.6437786016628095E-2</v>
      </c>
      <c r="G104" s="109" t="s">
        <v>222</v>
      </c>
    </row>
    <row r="105" spans="1:7" ht="19.899999999999999" hidden="1">
      <c r="A105" s="104" t="s">
        <v>53</v>
      </c>
      <c r="B105" s="105" t="s">
        <v>236</v>
      </c>
      <c r="C105" s="37" t="s">
        <v>240</v>
      </c>
      <c r="D105" s="106">
        <v>2025</v>
      </c>
      <c r="E105" s="107" t="s">
        <v>113</v>
      </c>
      <c r="F105" s="117">
        <v>9.8849367101395094E-2</v>
      </c>
      <c r="G105" s="109" t="s">
        <v>222</v>
      </c>
    </row>
    <row r="106" spans="1:7" ht="39.6" hidden="1">
      <c r="A106" s="104" t="s">
        <v>53</v>
      </c>
      <c r="B106" s="105" t="s">
        <v>236</v>
      </c>
      <c r="C106" s="37" t="s">
        <v>241</v>
      </c>
      <c r="D106" s="106">
        <v>2025</v>
      </c>
      <c r="E106" s="107" t="s">
        <v>113</v>
      </c>
      <c r="F106" s="111">
        <v>4.14288456293124E-2</v>
      </c>
      <c r="G106" s="109" t="s">
        <v>222</v>
      </c>
    </row>
    <row r="107" spans="1:7" ht="19.899999999999999" hidden="1">
      <c r="A107" s="104" t="s">
        <v>53</v>
      </c>
      <c r="B107" s="105" t="s">
        <v>236</v>
      </c>
      <c r="C107" s="37" t="s">
        <v>242</v>
      </c>
      <c r="D107" s="106">
        <v>2025</v>
      </c>
      <c r="E107" s="107" t="s">
        <v>113</v>
      </c>
      <c r="F107" s="111">
        <v>6.3587873400074796E-2</v>
      </c>
      <c r="G107" s="109" t="s">
        <v>222</v>
      </c>
    </row>
    <row r="108" spans="1:7" ht="19.899999999999999" hidden="1">
      <c r="A108" s="104" t="s">
        <v>53</v>
      </c>
      <c r="B108" s="105" t="s">
        <v>236</v>
      </c>
      <c r="C108" s="37" t="s">
        <v>243</v>
      </c>
      <c r="D108" s="106">
        <v>2025</v>
      </c>
      <c r="E108" s="107" t="s">
        <v>113</v>
      </c>
      <c r="F108" s="117">
        <v>0.105865298164443</v>
      </c>
      <c r="G108" s="109" t="s">
        <v>222</v>
      </c>
    </row>
    <row r="109" spans="1:7" ht="19.899999999999999" hidden="1">
      <c r="A109" s="104" t="s">
        <v>53</v>
      </c>
      <c r="B109" s="105" t="s">
        <v>236</v>
      </c>
      <c r="C109" s="37" t="s">
        <v>244</v>
      </c>
      <c r="D109" s="106">
        <v>2025</v>
      </c>
      <c r="E109" s="107" t="s">
        <v>113</v>
      </c>
      <c r="F109" s="111">
        <v>2.0972027194940901E-2</v>
      </c>
      <c r="G109" s="109" t="s">
        <v>222</v>
      </c>
    </row>
    <row r="110" spans="1:7" ht="39.6" hidden="1">
      <c r="A110" s="104" t="s">
        <v>53</v>
      </c>
      <c r="B110" s="105" t="s">
        <v>236</v>
      </c>
      <c r="C110" s="37" t="s">
        <v>245</v>
      </c>
      <c r="D110" s="106">
        <v>2025</v>
      </c>
      <c r="E110" s="107" t="s">
        <v>113</v>
      </c>
      <c r="F110" s="117">
        <v>0.105425855398075</v>
      </c>
      <c r="G110" s="109" t="s">
        <v>222</v>
      </c>
    </row>
    <row r="111" spans="1:7" ht="39.6" hidden="1">
      <c r="A111" s="104" t="s">
        <v>53</v>
      </c>
      <c r="B111" s="105" t="s">
        <v>236</v>
      </c>
      <c r="C111" s="37" t="s">
        <v>246</v>
      </c>
      <c r="D111" s="106">
        <v>2025</v>
      </c>
      <c r="E111" s="107" t="s">
        <v>113</v>
      </c>
      <c r="F111" s="111">
        <v>0.15792158724706801</v>
      </c>
      <c r="G111" s="109" t="s">
        <v>222</v>
      </c>
    </row>
    <row r="112" spans="1:7" ht="39.6" hidden="1">
      <c r="A112" s="104" t="s">
        <v>53</v>
      </c>
      <c r="B112" s="105" t="s">
        <v>236</v>
      </c>
      <c r="C112" s="37" t="s">
        <v>247</v>
      </c>
      <c r="D112" s="106">
        <v>2025</v>
      </c>
      <c r="E112" s="107" t="s">
        <v>113</v>
      </c>
      <c r="F112" s="117">
        <v>8.4938730566022497E-2</v>
      </c>
      <c r="G112" s="109" t="s">
        <v>222</v>
      </c>
    </row>
    <row r="113" spans="1:7" ht="19.899999999999999" hidden="1">
      <c r="A113" s="104" t="s">
        <v>53</v>
      </c>
      <c r="B113" s="105" t="s">
        <v>236</v>
      </c>
      <c r="C113" s="37" t="s">
        <v>248</v>
      </c>
      <c r="D113" s="106">
        <v>2025</v>
      </c>
      <c r="E113" s="107" t="s">
        <v>113</v>
      </c>
      <c r="F113" s="111">
        <v>0.148511450767257</v>
      </c>
      <c r="G113" s="109" t="s">
        <v>222</v>
      </c>
    </row>
    <row r="114" spans="1:7" ht="19.899999999999999" hidden="1">
      <c r="A114" s="104" t="s">
        <v>53</v>
      </c>
      <c r="B114" s="105" t="s">
        <v>236</v>
      </c>
      <c r="C114" s="37" t="s">
        <v>249</v>
      </c>
      <c r="D114" s="106">
        <v>2025</v>
      </c>
      <c r="E114" s="107" t="s">
        <v>113</v>
      </c>
      <c r="F114" s="117">
        <v>5.20057784198244E-2</v>
      </c>
      <c r="G114" s="109" t="s">
        <v>222</v>
      </c>
    </row>
    <row r="115" spans="1:7" ht="19.899999999999999" hidden="1">
      <c r="A115" s="104" t="s">
        <v>53</v>
      </c>
      <c r="B115" s="105" t="s">
        <v>250</v>
      </c>
      <c r="C115" s="37" t="s">
        <v>251</v>
      </c>
      <c r="D115" s="106">
        <v>2025</v>
      </c>
      <c r="E115" s="107" t="s">
        <v>252</v>
      </c>
      <c r="F115" s="117">
        <v>17680</v>
      </c>
      <c r="G115" s="109" t="s">
        <v>222</v>
      </c>
    </row>
    <row r="116" spans="1:7" ht="19.899999999999999" hidden="1">
      <c r="A116" s="104" t="s">
        <v>53</v>
      </c>
      <c r="B116" s="105" t="s">
        <v>250</v>
      </c>
      <c r="C116" s="37" t="s">
        <v>253</v>
      </c>
      <c r="D116" s="106">
        <v>2025</v>
      </c>
      <c r="E116" s="107" t="s">
        <v>252</v>
      </c>
      <c r="F116" s="117">
        <v>10032</v>
      </c>
      <c r="G116" s="109" t="s">
        <v>222</v>
      </c>
    </row>
    <row r="117" spans="1:7" ht="19.899999999999999" hidden="1">
      <c r="A117" s="104" t="s">
        <v>53</v>
      </c>
      <c r="B117" s="105" t="s">
        <v>250</v>
      </c>
      <c r="C117" s="37" t="s">
        <v>254</v>
      </c>
      <c r="D117" s="106">
        <v>2024</v>
      </c>
      <c r="E117" s="107" t="s">
        <v>252</v>
      </c>
      <c r="F117" s="117">
        <v>14804</v>
      </c>
      <c r="G117" s="109" t="s">
        <v>222</v>
      </c>
    </row>
    <row r="118" spans="1:7" ht="19.899999999999999" hidden="1">
      <c r="A118" s="104" t="s">
        <v>53</v>
      </c>
      <c r="B118" s="105" t="s">
        <v>250</v>
      </c>
      <c r="C118" s="37" t="s">
        <v>255</v>
      </c>
      <c r="D118" s="106">
        <v>2024</v>
      </c>
      <c r="E118" s="107" t="s">
        <v>252</v>
      </c>
      <c r="F118" s="117">
        <v>9554</v>
      </c>
      <c r="G118" s="109" t="s">
        <v>222</v>
      </c>
    </row>
    <row r="119" spans="1:7" ht="19.899999999999999">
      <c r="A119" s="104" t="s">
        <v>53</v>
      </c>
      <c r="B119" s="105" t="s">
        <v>256</v>
      </c>
      <c r="C119" s="37" t="s">
        <v>36</v>
      </c>
      <c r="D119" s="106">
        <v>2024</v>
      </c>
      <c r="E119" s="107" t="s">
        <v>113</v>
      </c>
      <c r="F119" s="111">
        <v>0.17299999999999999</v>
      </c>
      <c r="G119" s="109" t="s">
        <v>257</v>
      </c>
    </row>
    <row r="120" spans="1:7" ht="19.899999999999999">
      <c r="A120" s="104" t="s">
        <v>53</v>
      </c>
      <c r="B120" s="105" t="s">
        <v>256</v>
      </c>
      <c r="C120" s="37" t="s">
        <v>258</v>
      </c>
      <c r="D120" s="106">
        <v>2024</v>
      </c>
      <c r="E120" s="107" t="s">
        <v>113</v>
      </c>
      <c r="F120" s="111">
        <v>0.17699999999999999</v>
      </c>
      <c r="G120" s="109" t="s">
        <v>257</v>
      </c>
    </row>
    <row r="121" spans="1:7" ht="19.899999999999999">
      <c r="A121" s="104" t="s">
        <v>53</v>
      </c>
      <c r="B121" s="105" t="s">
        <v>256</v>
      </c>
      <c r="C121" s="37" t="s">
        <v>259</v>
      </c>
      <c r="D121" s="106">
        <v>2024</v>
      </c>
      <c r="E121" s="107" t="s">
        <v>113</v>
      </c>
      <c r="F121" s="111">
        <v>6.0999999999999999E-2</v>
      </c>
      <c r="G121" s="109" t="s">
        <v>257</v>
      </c>
    </row>
    <row r="122" spans="1:7" ht="19.899999999999999">
      <c r="A122" s="104" t="s">
        <v>53</v>
      </c>
      <c r="B122" s="105" t="s">
        <v>256</v>
      </c>
      <c r="C122" s="37" t="s">
        <v>260</v>
      </c>
      <c r="D122" s="106">
        <v>2022</v>
      </c>
      <c r="E122" s="107" t="s">
        <v>113</v>
      </c>
      <c r="F122" s="111">
        <v>7.8E-2</v>
      </c>
      <c r="G122" s="109" t="s">
        <v>257</v>
      </c>
    </row>
    <row r="123" spans="1:7" ht="19.899999999999999" hidden="1">
      <c r="A123" s="104" t="s">
        <v>53</v>
      </c>
      <c r="B123" s="105" t="s">
        <v>261</v>
      </c>
      <c r="C123" s="37" t="s">
        <v>262</v>
      </c>
      <c r="D123" s="106">
        <v>2025</v>
      </c>
      <c r="E123" s="107" t="s">
        <v>263</v>
      </c>
      <c r="F123" s="118">
        <v>962.9</v>
      </c>
      <c r="G123" s="109" t="s">
        <v>264</v>
      </c>
    </row>
    <row r="124" spans="1:7" ht="19.899999999999999" hidden="1">
      <c r="A124" s="104" t="s">
        <v>53</v>
      </c>
      <c r="B124" s="105" t="s">
        <v>261</v>
      </c>
      <c r="C124" s="37" t="s">
        <v>265</v>
      </c>
      <c r="D124" s="106">
        <v>2025</v>
      </c>
      <c r="E124" s="107" t="s">
        <v>263</v>
      </c>
      <c r="F124" s="118">
        <v>680</v>
      </c>
      <c r="G124" s="109" t="s">
        <v>264</v>
      </c>
    </row>
    <row r="125" spans="1:7" ht="19.899999999999999" hidden="1">
      <c r="A125" s="104" t="s">
        <v>53</v>
      </c>
      <c r="B125" s="105" t="s">
        <v>266</v>
      </c>
      <c r="C125" s="37" t="s">
        <v>267</v>
      </c>
      <c r="D125" s="106">
        <v>2023</v>
      </c>
      <c r="E125" s="107" t="s">
        <v>268</v>
      </c>
      <c r="F125" s="116">
        <v>2.0613738014603999</v>
      </c>
      <c r="G125" s="109" t="s">
        <v>269</v>
      </c>
    </row>
    <row r="126" spans="1:7" ht="19.899999999999999" hidden="1">
      <c r="A126" s="104" t="s">
        <v>53</v>
      </c>
      <c r="B126" s="105" t="s">
        <v>266</v>
      </c>
      <c r="C126" s="37" t="s">
        <v>270</v>
      </c>
      <c r="D126" s="106">
        <v>2023</v>
      </c>
      <c r="E126" s="107" t="s">
        <v>268</v>
      </c>
      <c r="F126" s="116">
        <v>9.1489261370943495</v>
      </c>
      <c r="G126" s="109" t="s">
        <v>269</v>
      </c>
    </row>
    <row r="127" spans="1:7" ht="19.899999999999999" hidden="1">
      <c r="A127" s="104" t="s">
        <v>53</v>
      </c>
      <c r="B127" s="105" t="s">
        <v>266</v>
      </c>
      <c r="C127" s="37" t="s">
        <v>271</v>
      </c>
      <c r="D127" s="106">
        <v>2023</v>
      </c>
      <c r="E127" s="107" t="s">
        <v>268</v>
      </c>
      <c r="F127" s="116">
        <v>8.4110258498735408</v>
      </c>
      <c r="G127" s="109" t="s">
        <v>269</v>
      </c>
    </row>
    <row r="128" spans="1:7" ht="19.899999999999999" hidden="1">
      <c r="A128" s="104" t="s">
        <v>53</v>
      </c>
      <c r="B128" s="105" t="s">
        <v>266</v>
      </c>
      <c r="C128" s="37" t="s">
        <v>272</v>
      </c>
      <c r="D128" s="106">
        <v>2023</v>
      </c>
      <c r="E128" s="107" t="s">
        <v>268</v>
      </c>
      <c r="F128" s="116">
        <v>14.690215915748601</v>
      </c>
      <c r="G128" s="109" t="s">
        <v>269</v>
      </c>
    </row>
    <row r="129" spans="1:7" ht="19.899999999999999" hidden="1">
      <c r="A129" s="104" t="s">
        <v>53</v>
      </c>
      <c r="B129" s="105" t="s">
        <v>266</v>
      </c>
      <c r="C129" s="37" t="s">
        <v>273</v>
      </c>
      <c r="D129" s="106">
        <v>2023</v>
      </c>
      <c r="E129" s="107" t="s">
        <v>268</v>
      </c>
      <c r="F129" s="116">
        <v>29.025749846386901</v>
      </c>
      <c r="G129" s="109" t="s">
        <v>269</v>
      </c>
    </row>
    <row r="130" spans="1:7" ht="19.899999999999999" hidden="1">
      <c r="A130" s="104" t="s">
        <v>53</v>
      </c>
      <c r="B130" s="105" t="s">
        <v>266</v>
      </c>
      <c r="C130" s="37" t="s">
        <v>274</v>
      </c>
      <c r="D130" s="106">
        <v>2023</v>
      </c>
      <c r="E130" s="107" t="s">
        <v>268</v>
      </c>
      <c r="F130" s="116">
        <v>30.5375173261314</v>
      </c>
      <c r="G130" s="109" t="s">
        <v>269</v>
      </c>
    </row>
    <row r="131" spans="1:7" ht="19.899999999999999" hidden="1">
      <c r="A131" s="104" t="s">
        <v>53</v>
      </c>
      <c r="B131" s="105" t="s">
        <v>266</v>
      </c>
      <c r="C131" s="37" t="s">
        <v>275</v>
      </c>
      <c r="D131" s="106">
        <v>2023</v>
      </c>
      <c r="E131" s="107" t="s">
        <v>268</v>
      </c>
      <c r="F131" s="116">
        <v>6.1251911233048997</v>
      </c>
      <c r="G131" s="109" t="s">
        <v>269</v>
      </c>
    </row>
    <row r="132" spans="1:7" ht="19.899999999999999" hidden="1">
      <c r="A132" s="104" t="s">
        <v>53</v>
      </c>
      <c r="B132" s="105" t="s">
        <v>276</v>
      </c>
      <c r="C132" s="37" t="s">
        <v>277</v>
      </c>
      <c r="D132" s="106">
        <v>2025</v>
      </c>
      <c r="E132" s="107" t="s">
        <v>104</v>
      </c>
      <c r="F132" s="108" t="s">
        <v>77</v>
      </c>
      <c r="G132" s="109" t="s">
        <v>279</v>
      </c>
    </row>
    <row r="133" spans="1:7" ht="39.6" hidden="1">
      <c r="A133" s="104" t="s">
        <v>53</v>
      </c>
      <c r="B133" s="105" t="s">
        <v>276</v>
      </c>
      <c r="C133" s="37" t="s">
        <v>280</v>
      </c>
      <c r="D133" s="106">
        <v>2025</v>
      </c>
      <c r="E133" s="107" t="s">
        <v>113</v>
      </c>
      <c r="F133" s="108"/>
      <c r="G133" s="109" t="s">
        <v>279</v>
      </c>
    </row>
    <row r="134" spans="1:7" ht="19.899999999999999" hidden="1">
      <c r="A134" s="104" t="s">
        <v>53</v>
      </c>
      <c r="B134" s="105" t="s">
        <v>281</v>
      </c>
      <c r="C134" s="37" t="s">
        <v>282</v>
      </c>
      <c r="D134" s="106"/>
      <c r="E134" s="107" t="s">
        <v>104</v>
      </c>
      <c r="F134" s="108" t="s">
        <v>284</v>
      </c>
      <c r="G134" s="109" t="s">
        <v>279</v>
      </c>
    </row>
    <row r="135" spans="1:7" ht="19.899999999999999" hidden="1">
      <c r="A135" s="104" t="s">
        <v>53</v>
      </c>
      <c r="B135" s="105" t="s">
        <v>281</v>
      </c>
      <c r="C135" s="37" t="s">
        <v>281</v>
      </c>
      <c r="D135" s="106"/>
      <c r="E135" s="107" t="s">
        <v>285</v>
      </c>
      <c r="F135" s="117">
        <v>285789.85070000001</v>
      </c>
      <c r="G135" s="109" t="s">
        <v>222</v>
      </c>
    </row>
    <row r="136" spans="1:7" ht="19.899999999999999" hidden="1">
      <c r="A136" s="104" t="s">
        <v>53</v>
      </c>
      <c r="B136" s="105" t="s">
        <v>281</v>
      </c>
      <c r="C136" s="37" t="s">
        <v>286</v>
      </c>
      <c r="D136" s="106"/>
      <c r="E136" s="107" t="s">
        <v>113</v>
      </c>
      <c r="F136" s="111"/>
      <c r="G136" s="109" t="s">
        <v>222</v>
      </c>
    </row>
    <row r="137" spans="1:7" ht="19.899999999999999" hidden="1">
      <c r="A137" s="104" t="s">
        <v>55</v>
      </c>
      <c r="B137" s="105" t="s">
        <v>287</v>
      </c>
      <c r="C137" s="37" t="s">
        <v>288</v>
      </c>
      <c r="D137" s="106">
        <v>2025</v>
      </c>
      <c r="E137" s="107" t="s">
        <v>113</v>
      </c>
      <c r="F137" s="111">
        <v>0.58169999999999999</v>
      </c>
      <c r="G137" s="109" t="s">
        <v>289</v>
      </c>
    </row>
    <row r="138" spans="1:7" ht="19.899999999999999" hidden="1">
      <c r="A138" s="104" t="s">
        <v>55</v>
      </c>
      <c r="B138" s="105" t="s">
        <v>287</v>
      </c>
      <c r="C138" s="37" t="s">
        <v>290</v>
      </c>
      <c r="D138" s="106">
        <v>2025</v>
      </c>
      <c r="E138" s="107" t="s">
        <v>113</v>
      </c>
      <c r="F138" s="111">
        <v>0.41830000000000001</v>
      </c>
      <c r="G138" s="109" t="s">
        <v>289</v>
      </c>
    </row>
    <row r="139" spans="1:7" ht="19.899999999999999" hidden="1">
      <c r="A139" s="104" t="s">
        <v>55</v>
      </c>
      <c r="B139" s="105" t="s">
        <v>291</v>
      </c>
      <c r="C139" s="37" t="s">
        <v>292</v>
      </c>
      <c r="D139" s="106">
        <v>2025</v>
      </c>
      <c r="E139" s="107" t="s">
        <v>113</v>
      </c>
      <c r="F139" s="111"/>
      <c r="G139" s="109" t="s">
        <v>289</v>
      </c>
    </row>
    <row r="140" spans="1:7" ht="19.899999999999999" hidden="1">
      <c r="A140" s="104" t="s">
        <v>55</v>
      </c>
      <c r="B140" s="105" t="s">
        <v>291</v>
      </c>
      <c r="C140" s="37" t="s">
        <v>293</v>
      </c>
      <c r="D140" s="106">
        <v>2025</v>
      </c>
      <c r="E140" s="107" t="s">
        <v>113</v>
      </c>
      <c r="F140" s="111"/>
      <c r="G140" s="109" t="s">
        <v>289</v>
      </c>
    </row>
    <row r="141" spans="1:7" ht="19.899999999999999" hidden="1">
      <c r="A141" s="104" t="s">
        <v>55</v>
      </c>
      <c r="B141" s="105" t="s">
        <v>291</v>
      </c>
      <c r="C141" s="37" t="s">
        <v>294</v>
      </c>
      <c r="D141" s="106">
        <v>2025</v>
      </c>
      <c r="E141" s="107" t="s">
        <v>113</v>
      </c>
      <c r="F141" s="111"/>
      <c r="G141" s="109" t="s">
        <v>289</v>
      </c>
    </row>
    <row r="142" spans="1:7" ht="19.899999999999999" hidden="1">
      <c r="A142" s="104" t="s">
        <v>55</v>
      </c>
      <c r="B142" s="105" t="s">
        <v>291</v>
      </c>
      <c r="C142" s="37" t="s">
        <v>295</v>
      </c>
      <c r="D142" s="106">
        <v>2025</v>
      </c>
      <c r="E142" s="107" t="s">
        <v>113</v>
      </c>
      <c r="F142" s="111"/>
      <c r="G142" s="109" t="s">
        <v>289</v>
      </c>
    </row>
    <row r="143" spans="1:7" ht="19.899999999999999" hidden="1">
      <c r="A143" s="104" t="s">
        <v>55</v>
      </c>
      <c r="B143" s="105" t="s">
        <v>291</v>
      </c>
      <c r="C143" s="37" t="s">
        <v>296</v>
      </c>
      <c r="D143" s="106">
        <v>2025</v>
      </c>
      <c r="E143" s="107" t="s">
        <v>113</v>
      </c>
      <c r="F143" s="111"/>
      <c r="G143" s="109" t="s">
        <v>289</v>
      </c>
    </row>
    <row r="144" spans="1:7" ht="19.899999999999999" hidden="1">
      <c r="A144" s="104" t="s">
        <v>55</v>
      </c>
      <c r="B144" s="105" t="s">
        <v>291</v>
      </c>
      <c r="C144" s="37" t="s">
        <v>297</v>
      </c>
      <c r="D144" s="106">
        <v>2025</v>
      </c>
      <c r="E144" s="107" t="s">
        <v>113</v>
      </c>
      <c r="F144" s="111"/>
      <c r="G144" s="109" t="s">
        <v>289</v>
      </c>
    </row>
    <row r="145" spans="1:7" ht="19.899999999999999" hidden="1">
      <c r="A145" s="104" t="s">
        <v>55</v>
      </c>
      <c r="B145" s="105" t="s">
        <v>291</v>
      </c>
      <c r="C145" s="37" t="s">
        <v>298</v>
      </c>
      <c r="D145" s="106">
        <v>2025</v>
      </c>
      <c r="E145" s="107" t="s">
        <v>113</v>
      </c>
      <c r="F145" s="111"/>
      <c r="G145" s="109" t="s">
        <v>289</v>
      </c>
    </row>
    <row r="146" spans="1:7" ht="19.899999999999999" hidden="1">
      <c r="A146" s="104" t="s">
        <v>55</v>
      </c>
      <c r="B146" s="105" t="s">
        <v>291</v>
      </c>
      <c r="C146" s="37" t="s">
        <v>299</v>
      </c>
      <c r="D146" s="106">
        <v>2025</v>
      </c>
      <c r="E146" s="107" t="s">
        <v>113</v>
      </c>
      <c r="F146" s="108"/>
      <c r="G146" s="109" t="s">
        <v>289</v>
      </c>
    </row>
    <row r="147" spans="1:7" ht="19.899999999999999" hidden="1">
      <c r="A147" s="104" t="s">
        <v>55</v>
      </c>
      <c r="B147" s="105" t="s">
        <v>300</v>
      </c>
      <c r="C147" s="37" t="s">
        <v>301</v>
      </c>
      <c r="D147" s="106">
        <v>2023</v>
      </c>
      <c r="E147" s="107" t="s">
        <v>113</v>
      </c>
      <c r="F147" s="111">
        <v>0.44209999999999999</v>
      </c>
      <c r="G147" s="109" t="s">
        <v>289</v>
      </c>
    </row>
    <row r="148" spans="1:7" ht="19.899999999999999" hidden="1">
      <c r="A148" s="104" t="s">
        <v>55</v>
      </c>
      <c r="B148" s="105" t="s">
        <v>300</v>
      </c>
      <c r="C148" s="37" t="s">
        <v>302</v>
      </c>
      <c r="D148" s="106">
        <v>2023</v>
      </c>
      <c r="E148" s="107" t="s">
        <v>113</v>
      </c>
      <c r="F148" s="111">
        <v>0.55789999999999995</v>
      </c>
      <c r="G148" s="109" t="s">
        <v>289</v>
      </c>
    </row>
    <row r="149" spans="1:7" ht="19.899999999999999" hidden="1">
      <c r="A149" s="104" t="s">
        <v>55</v>
      </c>
      <c r="B149" s="105" t="s">
        <v>303</v>
      </c>
      <c r="C149" s="37" t="s">
        <v>304</v>
      </c>
      <c r="D149" s="106">
        <v>2022</v>
      </c>
      <c r="E149" s="107" t="s">
        <v>113</v>
      </c>
      <c r="F149" s="111">
        <v>0.38109999999999999</v>
      </c>
      <c r="G149" s="109" t="s">
        <v>289</v>
      </c>
    </row>
    <row r="150" spans="1:7" ht="19.899999999999999" hidden="1">
      <c r="A150" s="104" t="s">
        <v>55</v>
      </c>
      <c r="B150" s="105" t="s">
        <v>303</v>
      </c>
      <c r="C150" s="37" t="s">
        <v>305</v>
      </c>
      <c r="D150" s="106">
        <v>2022</v>
      </c>
      <c r="E150" s="107" t="s">
        <v>113</v>
      </c>
      <c r="F150" s="111">
        <v>0.61890000000000001</v>
      </c>
      <c r="G150" s="109" t="s">
        <v>289</v>
      </c>
    </row>
    <row r="151" spans="1:7" ht="19.899999999999999" hidden="1">
      <c r="A151" s="104" t="s">
        <v>55</v>
      </c>
      <c r="B151" s="105" t="s">
        <v>306</v>
      </c>
      <c r="C151" s="37" t="s">
        <v>307</v>
      </c>
      <c r="D151" s="106">
        <v>2021</v>
      </c>
      <c r="E151" s="107" t="s">
        <v>113</v>
      </c>
      <c r="F151" s="111">
        <v>0.55869999999999997</v>
      </c>
      <c r="G151" s="109" t="s">
        <v>289</v>
      </c>
    </row>
    <row r="152" spans="1:7" ht="19.899999999999999" hidden="1">
      <c r="A152" s="104" t="s">
        <v>55</v>
      </c>
      <c r="B152" s="105" t="s">
        <v>306</v>
      </c>
      <c r="C152" s="37" t="s">
        <v>308</v>
      </c>
      <c r="D152" s="106">
        <v>2021</v>
      </c>
      <c r="E152" s="107" t="s">
        <v>113</v>
      </c>
      <c r="F152" s="111">
        <v>0.44130000000000003</v>
      </c>
      <c r="G152" s="109" t="s">
        <v>289</v>
      </c>
    </row>
    <row r="153" spans="1:7" ht="19.899999999999999" hidden="1">
      <c r="A153" s="104" t="s">
        <v>57</v>
      </c>
      <c r="B153" s="105" t="s">
        <v>309</v>
      </c>
      <c r="C153" s="37" t="s">
        <v>39</v>
      </c>
      <c r="D153" s="106">
        <v>2025</v>
      </c>
      <c r="E153" s="107" t="s">
        <v>310</v>
      </c>
      <c r="F153" s="115">
        <v>5.4</v>
      </c>
      <c r="G153" s="109" t="s">
        <v>311</v>
      </c>
    </row>
    <row r="154" spans="1:7" ht="19.899999999999999" hidden="1">
      <c r="A154" s="104" t="s">
        <v>57</v>
      </c>
      <c r="B154" s="105" t="s">
        <v>309</v>
      </c>
      <c r="C154" s="37" t="s">
        <v>312</v>
      </c>
      <c r="D154" s="106">
        <v>2024</v>
      </c>
      <c r="E154" s="107" t="s">
        <v>310</v>
      </c>
      <c r="F154" s="115">
        <v>5.4</v>
      </c>
      <c r="G154" s="109" t="s">
        <v>311</v>
      </c>
    </row>
    <row r="155" spans="1:7" ht="19.899999999999999" hidden="1">
      <c r="A155" s="104" t="s">
        <v>57</v>
      </c>
      <c r="B155" s="105" t="s">
        <v>309</v>
      </c>
      <c r="C155" s="37" t="s">
        <v>313</v>
      </c>
      <c r="D155" s="106">
        <v>2023</v>
      </c>
      <c r="E155" s="107" t="s">
        <v>310</v>
      </c>
      <c r="F155" s="115">
        <v>6.1</v>
      </c>
      <c r="G155" s="109" t="s">
        <v>311</v>
      </c>
    </row>
    <row r="156" spans="1:7" ht="19.899999999999999" hidden="1">
      <c r="A156" s="104" t="s">
        <v>57</v>
      </c>
      <c r="B156" s="105" t="s">
        <v>309</v>
      </c>
      <c r="C156" s="37" t="s">
        <v>314</v>
      </c>
      <c r="D156" s="106">
        <v>2022</v>
      </c>
      <c r="E156" s="107" t="s">
        <v>310</v>
      </c>
      <c r="F156" s="115">
        <v>6.7</v>
      </c>
      <c r="G156" s="109" t="s">
        <v>311</v>
      </c>
    </row>
    <row r="157" spans="1:7" ht="19.899999999999999" hidden="1">
      <c r="A157" s="104" t="s">
        <v>57</v>
      </c>
      <c r="B157" s="105" t="s">
        <v>309</v>
      </c>
      <c r="C157" s="37" t="s">
        <v>315</v>
      </c>
      <c r="D157" s="106">
        <v>2021</v>
      </c>
      <c r="E157" s="107" t="s">
        <v>310</v>
      </c>
      <c r="F157" s="115">
        <v>4.7</v>
      </c>
      <c r="G157" s="109" t="s">
        <v>311</v>
      </c>
    </row>
    <row r="158" spans="1:7" ht="19.899999999999999" hidden="1">
      <c r="A158" s="104" t="s">
        <v>57</v>
      </c>
      <c r="B158" s="105" t="s">
        <v>309</v>
      </c>
      <c r="C158" s="37" t="s">
        <v>316</v>
      </c>
      <c r="D158" s="106">
        <v>2020</v>
      </c>
      <c r="E158" s="107" t="s">
        <v>310</v>
      </c>
      <c r="F158" s="115">
        <v>5.8</v>
      </c>
      <c r="G158" s="109" t="s">
        <v>311</v>
      </c>
    </row>
    <row r="159" spans="1:7" ht="19.899999999999999" hidden="1">
      <c r="A159" s="104" t="s">
        <v>57</v>
      </c>
      <c r="B159" s="105" t="s">
        <v>309</v>
      </c>
      <c r="C159" s="37" t="s">
        <v>317</v>
      </c>
      <c r="D159" s="106">
        <v>2019</v>
      </c>
      <c r="E159" s="107" t="s">
        <v>310</v>
      </c>
      <c r="F159" s="115">
        <v>4.9000000000000004</v>
      </c>
      <c r="G159" s="109" t="s">
        <v>311</v>
      </c>
    </row>
    <row r="160" spans="1:7" ht="19.899999999999999" hidden="1">
      <c r="A160" s="104" t="s">
        <v>57</v>
      </c>
      <c r="B160" s="105" t="s">
        <v>309</v>
      </c>
      <c r="C160" s="37" t="s">
        <v>318</v>
      </c>
      <c r="D160" s="106">
        <v>2018</v>
      </c>
      <c r="E160" s="107" t="s">
        <v>310</v>
      </c>
      <c r="F160" s="115">
        <v>4.5</v>
      </c>
      <c r="G160" s="109" t="s">
        <v>311</v>
      </c>
    </row>
    <row r="161" spans="1:7" ht="19.899999999999999" hidden="1">
      <c r="A161" s="104" t="s">
        <v>57</v>
      </c>
      <c r="B161" s="105" t="s">
        <v>319</v>
      </c>
      <c r="C161" s="37" t="s">
        <v>320</v>
      </c>
      <c r="D161" s="106" t="s">
        <v>321</v>
      </c>
      <c r="E161" s="107" t="s">
        <v>322</v>
      </c>
      <c r="F161" s="110">
        <v>6040</v>
      </c>
      <c r="G161" s="109" t="s">
        <v>311</v>
      </c>
    </row>
    <row r="162" spans="1:7" ht="19.899999999999999" hidden="1">
      <c r="A162" s="104" t="s">
        <v>57</v>
      </c>
      <c r="B162" s="105" t="s">
        <v>323</v>
      </c>
      <c r="C162" s="37" t="s">
        <v>324</v>
      </c>
      <c r="D162" s="106">
        <v>2021</v>
      </c>
      <c r="E162" s="107" t="s">
        <v>325</v>
      </c>
      <c r="F162" s="108"/>
      <c r="G162" s="109" t="s">
        <v>311</v>
      </c>
    </row>
    <row r="163" spans="1:7" ht="19.899999999999999" hidden="1">
      <c r="A163" s="104" t="s">
        <v>57</v>
      </c>
      <c r="B163" s="105" t="s">
        <v>323</v>
      </c>
      <c r="C163" s="37" t="s">
        <v>326</v>
      </c>
      <c r="D163" s="106">
        <v>2022</v>
      </c>
      <c r="E163" s="107" t="s">
        <v>325</v>
      </c>
      <c r="F163" s="108"/>
      <c r="G163" s="109" t="s">
        <v>311</v>
      </c>
    </row>
    <row r="164" spans="1:7" ht="19.899999999999999" hidden="1">
      <c r="A164" s="104" t="s">
        <v>57</v>
      </c>
      <c r="B164" s="105" t="s">
        <v>323</v>
      </c>
      <c r="C164" s="37" t="s">
        <v>327</v>
      </c>
      <c r="D164" s="106">
        <v>2023</v>
      </c>
      <c r="E164" s="107" t="s">
        <v>325</v>
      </c>
      <c r="F164" s="108"/>
      <c r="G164" s="109" t="s">
        <v>311</v>
      </c>
    </row>
    <row r="165" spans="1:7" ht="19.899999999999999" hidden="1">
      <c r="A165" s="104" t="s">
        <v>57</v>
      </c>
      <c r="B165" s="105" t="s">
        <v>323</v>
      </c>
      <c r="C165" s="37" t="s">
        <v>328</v>
      </c>
      <c r="D165" s="106">
        <v>2024</v>
      </c>
      <c r="E165" s="107" t="s">
        <v>325</v>
      </c>
      <c r="F165" s="108"/>
      <c r="G165" s="109" t="s">
        <v>311</v>
      </c>
    </row>
    <row r="166" spans="1:7" ht="19.899999999999999" hidden="1">
      <c r="A166" s="104" t="s">
        <v>57</v>
      </c>
      <c r="B166" s="105" t="s">
        <v>329</v>
      </c>
      <c r="C166" s="37" t="s">
        <v>330</v>
      </c>
      <c r="D166" s="106">
        <v>2024</v>
      </c>
      <c r="E166" s="107" t="s">
        <v>331</v>
      </c>
      <c r="F166" s="108"/>
      <c r="G166" s="109" t="s">
        <v>164</v>
      </c>
    </row>
    <row r="167" spans="1:7" ht="19.899999999999999" hidden="1">
      <c r="A167" s="104" t="s">
        <v>57</v>
      </c>
      <c r="B167" s="105" t="s">
        <v>329</v>
      </c>
      <c r="C167" s="37" t="s">
        <v>332</v>
      </c>
      <c r="D167" s="106">
        <v>2020</v>
      </c>
      <c r="E167" s="107" t="s">
        <v>331</v>
      </c>
      <c r="F167" s="108"/>
      <c r="G167" s="109" t="s">
        <v>164</v>
      </c>
    </row>
    <row r="168" spans="1:7" ht="19.899999999999999" hidden="1">
      <c r="A168" s="104" t="s">
        <v>57</v>
      </c>
      <c r="B168" s="105" t="s">
        <v>323</v>
      </c>
      <c r="C168" s="37" t="s">
        <v>333</v>
      </c>
      <c r="D168" s="106">
        <v>2021</v>
      </c>
      <c r="E168" s="107" t="s">
        <v>334</v>
      </c>
      <c r="F168" s="108"/>
      <c r="G168" s="109" t="s">
        <v>164</v>
      </c>
    </row>
    <row r="169" spans="1:7" ht="19.899999999999999" hidden="1">
      <c r="A169" s="104" t="s">
        <v>57</v>
      </c>
      <c r="B169" s="105" t="s">
        <v>323</v>
      </c>
      <c r="C169" s="37" t="s">
        <v>335</v>
      </c>
      <c r="D169" s="106">
        <v>2022</v>
      </c>
      <c r="E169" s="107" t="s">
        <v>334</v>
      </c>
      <c r="F169" s="108"/>
      <c r="G169" s="109" t="s">
        <v>164</v>
      </c>
    </row>
    <row r="170" spans="1:7" ht="19.899999999999999" hidden="1">
      <c r="A170" s="104" t="s">
        <v>57</v>
      </c>
      <c r="B170" s="105" t="s">
        <v>323</v>
      </c>
      <c r="C170" s="37" t="s">
        <v>336</v>
      </c>
      <c r="D170" s="106">
        <v>2023</v>
      </c>
      <c r="E170" s="107" t="s">
        <v>334</v>
      </c>
      <c r="F170" s="108"/>
      <c r="G170" s="109" t="s">
        <v>164</v>
      </c>
    </row>
    <row r="171" spans="1:7" ht="19.899999999999999" hidden="1">
      <c r="A171" s="104" t="s">
        <v>57</v>
      </c>
      <c r="B171" s="105" t="s">
        <v>323</v>
      </c>
      <c r="C171" s="37" t="s">
        <v>337</v>
      </c>
      <c r="D171" s="106">
        <v>2024</v>
      </c>
      <c r="E171" s="107" t="s">
        <v>334</v>
      </c>
      <c r="F171" s="108"/>
      <c r="G171" s="109" t="s">
        <v>164</v>
      </c>
    </row>
    <row r="172" spans="1:7" ht="19.899999999999999" hidden="1">
      <c r="A172" s="104" t="s">
        <v>57</v>
      </c>
      <c r="B172" s="105" t="s">
        <v>323</v>
      </c>
      <c r="C172" s="37" t="s">
        <v>338</v>
      </c>
      <c r="D172" s="106">
        <v>2025</v>
      </c>
      <c r="E172" s="107" t="s">
        <v>334</v>
      </c>
      <c r="F172" s="108"/>
      <c r="G172" s="109" t="s">
        <v>164</v>
      </c>
    </row>
    <row r="173" spans="1:7" ht="19.899999999999999" hidden="1">
      <c r="A173" s="104" t="s">
        <v>57</v>
      </c>
      <c r="B173" s="105" t="s">
        <v>339</v>
      </c>
      <c r="C173" s="37" t="s">
        <v>340</v>
      </c>
      <c r="D173" s="106">
        <v>2026</v>
      </c>
      <c r="E173" s="107" t="s">
        <v>110</v>
      </c>
      <c r="F173" s="110">
        <v>64087</v>
      </c>
      <c r="G173" s="109" t="s">
        <v>341</v>
      </c>
    </row>
    <row r="174" spans="1:7" ht="19.899999999999999" hidden="1">
      <c r="A174" s="104" t="s">
        <v>57</v>
      </c>
      <c r="B174" s="105" t="s">
        <v>339</v>
      </c>
      <c r="C174" s="37" t="s">
        <v>342</v>
      </c>
      <c r="D174" s="106">
        <v>2026</v>
      </c>
      <c r="E174" s="107" t="s">
        <v>110</v>
      </c>
      <c r="F174" s="108"/>
      <c r="G174" s="109" t="s">
        <v>341</v>
      </c>
    </row>
    <row r="175" spans="1:7" ht="19.899999999999999" hidden="1">
      <c r="A175" s="104" t="s">
        <v>57</v>
      </c>
      <c r="B175" s="105" t="s">
        <v>339</v>
      </c>
      <c r="C175" s="37" t="s">
        <v>343</v>
      </c>
      <c r="D175" s="106">
        <v>2026</v>
      </c>
      <c r="E175" s="107" t="s">
        <v>110</v>
      </c>
      <c r="F175" s="108"/>
      <c r="G175" s="109" t="s">
        <v>341</v>
      </c>
    </row>
    <row r="176" spans="1:7" ht="19.899999999999999" hidden="1">
      <c r="A176" s="104" t="s">
        <v>57</v>
      </c>
      <c r="B176" s="105" t="s">
        <v>344</v>
      </c>
      <c r="C176" s="37" t="s">
        <v>345</v>
      </c>
      <c r="D176" s="106">
        <v>2025</v>
      </c>
      <c r="E176" s="107" t="s">
        <v>346</v>
      </c>
      <c r="F176" s="111">
        <v>7.9000000000000001E-2</v>
      </c>
      <c r="G176" s="109" t="s">
        <v>347</v>
      </c>
    </row>
    <row r="177" spans="1:7" ht="19.899999999999999" hidden="1">
      <c r="A177" s="104" t="s">
        <v>57</v>
      </c>
      <c r="B177" s="105" t="s">
        <v>344</v>
      </c>
      <c r="C177" s="37" t="s">
        <v>348</v>
      </c>
      <c r="D177" s="106">
        <v>2024</v>
      </c>
      <c r="E177" s="107" t="s">
        <v>346</v>
      </c>
      <c r="F177" s="111">
        <v>8.5000000000000006E-2</v>
      </c>
      <c r="G177" s="109" t="s">
        <v>347</v>
      </c>
    </row>
    <row r="178" spans="1:7" ht="19.899999999999999" hidden="1">
      <c r="A178" s="104" t="s">
        <v>57</v>
      </c>
      <c r="B178" s="105" t="s">
        <v>344</v>
      </c>
      <c r="C178" s="37" t="s">
        <v>349</v>
      </c>
      <c r="D178" s="106">
        <v>2023</v>
      </c>
      <c r="E178" s="107" t="s">
        <v>346</v>
      </c>
      <c r="F178" s="112">
        <v>8.1000000000000003E-2</v>
      </c>
      <c r="G178" s="109" t="s">
        <v>350</v>
      </c>
    </row>
    <row r="179" spans="1:7" ht="19.899999999999999" hidden="1">
      <c r="A179" s="104" t="s">
        <v>57</v>
      </c>
      <c r="B179" s="105" t="s">
        <v>344</v>
      </c>
      <c r="C179" s="37" t="s">
        <v>351</v>
      </c>
      <c r="D179" s="106">
        <v>2025</v>
      </c>
      <c r="E179" s="107" t="s">
        <v>352</v>
      </c>
      <c r="F179" s="111">
        <v>5.1999999999999998E-2</v>
      </c>
      <c r="G179" s="109" t="s">
        <v>347</v>
      </c>
    </row>
    <row r="180" spans="1:7" ht="19.899999999999999" hidden="1">
      <c r="A180" s="104" t="s">
        <v>57</v>
      </c>
      <c r="B180" s="105" t="s">
        <v>344</v>
      </c>
      <c r="C180" s="37" t="s">
        <v>353</v>
      </c>
      <c r="D180" s="106">
        <v>2024</v>
      </c>
      <c r="E180" s="107" t="s">
        <v>352</v>
      </c>
      <c r="F180" s="111">
        <v>5.8000000000000003E-2</v>
      </c>
      <c r="G180" s="109" t="s">
        <v>347</v>
      </c>
    </row>
    <row r="181" spans="1:7" ht="19.899999999999999" hidden="1">
      <c r="A181" s="104" t="s">
        <v>57</v>
      </c>
      <c r="B181" s="105" t="s">
        <v>344</v>
      </c>
      <c r="C181" s="37" t="s">
        <v>354</v>
      </c>
      <c r="D181" s="106">
        <v>2023</v>
      </c>
      <c r="E181" s="107" t="s">
        <v>352</v>
      </c>
      <c r="F181" s="112">
        <v>5.6000000000000001E-2</v>
      </c>
      <c r="G181" s="109" t="s">
        <v>350</v>
      </c>
    </row>
    <row r="182" spans="1:7" ht="19.899999999999999" hidden="1">
      <c r="A182" s="104" t="s">
        <v>57</v>
      </c>
      <c r="B182" s="105" t="s">
        <v>355</v>
      </c>
      <c r="C182" s="37" t="s">
        <v>356</v>
      </c>
      <c r="D182" s="106">
        <v>2025</v>
      </c>
      <c r="E182" s="107" t="s">
        <v>352</v>
      </c>
      <c r="F182" s="111">
        <v>0.82899999999999996</v>
      </c>
      <c r="G182" s="109" t="s">
        <v>347</v>
      </c>
    </row>
    <row r="183" spans="1:7" ht="19.899999999999999" hidden="1">
      <c r="A183" s="104" t="s">
        <v>57</v>
      </c>
      <c r="B183" s="105" t="s">
        <v>355</v>
      </c>
      <c r="C183" s="37" t="s">
        <v>357</v>
      </c>
      <c r="D183" s="106">
        <v>2024</v>
      </c>
      <c r="E183" s="107" t="s">
        <v>352</v>
      </c>
      <c r="F183" s="111">
        <v>0.877</v>
      </c>
      <c r="G183" s="109" t="s">
        <v>347</v>
      </c>
    </row>
    <row r="184" spans="1:7" ht="19.899999999999999" hidden="1">
      <c r="A184" s="104" t="s">
        <v>57</v>
      </c>
      <c r="B184" s="105" t="s">
        <v>355</v>
      </c>
      <c r="C184" s="37" t="s">
        <v>358</v>
      </c>
      <c r="D184" s="106">
        <v>2023</v>
      </c>
      <c r="E184" s="107" t="s">
        <v>352</v>
      </c>
      <c r="F184" s="111">
        <v>0.877</v>
      </c>
      <c r="G184" s="109" t="s">
        <v>350</v>
      </c>
    </row>
    <row r="185" spans="1:7" ht="19.899999999999999" hidden="1">
      <c r="A185" s="104" t="s">
        <v>57</v>
      </c>
      <c r="B185" s="105" t="s">
        <v>355</v>
      </c>
      <c r="C185" s="37" t="s">
        <v>359</v>
      </c>
      <c r="D185" s="106">
        <v>2025</v>
      </c>
      <c r="E185" s="107" t="s">
        <v>352</v>
      </c>
      <c r="F185" s="111">
        <v>0.47199999999999998</v>
      </c>
      <c r="G185" s="109" t="s">
        <v>347</v>
      </c>
    </row>
    <row r="186" spans="1:7" ht="19.899999999999999" hidden="1">
      <c r="A186" s="104" t="s">
        <v>57</v>
      </c>
      <c r="B186" s="105" t="s">
        <v>355</v>
      </c>
      <c r="C186" s="37" t="s">
        <v>360</v>
      </c>
      <c r="D186" s="106">
        <v>2024</v>
      </c>
      <c r="E186" s="107" t="s">
        <v>352</v>
      </c>
      <c r="F186" s="111">
        <v>0.50800000000000001</v>
      </c>
      <c r="G186" s="109" t="s">
        <v>347</v>
      </c>
    </row>
    <row r="187" spans="1:7" ht="19.899999999999999" hidden="1">
      <c r="A187" s="104" t="s">
        <v>57</v>
      </c>
      <c r="B187" s="105" t="s">
        <v>355</v>
      </c>
      <c r="C187" s="37" t="s">
        <v>361</v>
      </c>
      <c r="D187" s="106">
        <v>2023</v>
      </c>
      <c r="E187" s="107" t="s">
        <v>352</v>
      </c>
      <c r="F187" s="108">
        <v>54.3</v>
      </c>
      <c r="G187" s="109" t="s">
        <v>350</v>
      </c>
    </row>
    <row r="188" spans="1:7" ht="19.899999999999999" hidden="1">
      <c r="A188" s="104" t="s">
        <v>59</v>
      </c>
      <c r="B188" s="105" t="s">
        <v>362</v>
      </c>
      <c r="C188" s="37" t="s">
        <v>363</v>
      </c>
      <c r="D188" s="106">
        <v>2023</v>
      </c>
      <c r="E188" s="107" t="s">
        <v>364</v>
      </c>
      <c r="F188" s="108">
        <v>0.878</v>
      </c>
      <c r="G188" s="109" t="s">
        <v>365</v>
      </c>
    </row>
    <row r="189" spans="1:7" ht="19.899999999999999" hidden="1">
      <c r="A189" s="104" t="s">
        <v>59</v>
      </c>
      <c r="B189" s="105" t="s">
        <v>362</v>
      </c>
      <c r="C189" s="37" t="s">
        <v>366</v>
      </c>
      <c r="D189" s="106">
        <v>2022</v>
      </c>
      <c r="E189" s="107" t="s">
        <v>364</v>
      </c>
      <c r="F189" s="108">
        <v>0.86899999999999999</v>
      </c>
      <c r="G189" s="109" t="s">
        <v>365</v>
      </c>
    </row>
    <row r="190" spans="1:7" ht="19.899999999999999" hidden="1">
      <c r="A190" s="104" t="s">
        <v>59</v>
      </c>
      <c r="B190" s="105" t="s">
        <v>362</v>
      </c>
      <c r="C190" s="37" t="s">
        <v>367</v>
      </c>
      <c r="D190" s="106">
        <v>2021</v>
      </c>
      <c r="E190" s="107" t="s">
        <v>364</v>
      </c>
      <c r="F190" s="108">
        <v>0.86499999999999999</v>
      </c>
      <c r="G190" s="109" t="s">
        <v>365</v>
      </c>
    </row>
    <row r="191" spans="1:7" ht="19.899999999999999" hidden="1">
      <c r="A191" s="104" t="s">
        <v>59</v>
      </c>
      <c r="B191" s="105" t="s">
        <v>368</v>
      </c>
      <c r="C191" s="37" t="s">
        <v>369</v>
      </c>
      <c r="D191" s="106">
        <v>2017</v>
      </c>
      <c r="E191" s="107" t="s">
        <v>364</v>
      </c>
      <c r="F191" s="108">
        <v>0.47</v>
      </c>
      <c r="G191" s="109" t="s">
        <v>370</v>
      </c>
    </row>
    <row r="192" spans="1:7" ht="19.899999999999999" hidden="1">
      <c r="A192" s="104" t="s">
        <v>59</v>
      </c>
      <c r="B192" s="105" t="s">
        <v>371</v>
      </c>
      <c r="C192" s="37" t="s">
        <v>372</v>
      </c>
      <c r="D192" s="106">
        <v>2024</v>
      </c>
      <c r="E192" s="107" t="s">
        <v>373</v>
      </c>
      <c r="F192" s="110">
        <v>491904</v>
      </c>
      <c r="G192" s="109" t="s">
        <v>141</v>
      </c>
    </row>
    <row r="193" spans="1:7" ht="19.899999999999999" hidden="1">
      <c r="A193" s="104" t="s">
        <v>59</v>
      </c>
      <c r="B193" s="105" t="s">
        <v>371</v>
      </c>
      <c r="C193" s="37" t="s">
        <v>374</v>
      </c>
      <c r="D193" s="106">
        <v>2022</v>
      </c>
      <c r="E193" s="107" t="s">
        <v>373</v>
      </c>
      <c r="F193" s="110">
        <v>552046</v>
      </c>
      <c r="G193" s="109" t="s">
        <v>375</v>
      </c>
    </row>
    <row r="194" spans="1:7" ht="19.899999999999999" hidden="1">
      <c r="A194" s="104" t="s">
        <v>59</v>
      </c>
      <c r="B194" s="105" t="s">
        <v>376</v>
      </c>
      <c r="C194" s="37" t="s">
        <v>377</v>
      </c>
      <c r="D194" s="106">
        <v>2024</v>
      </c>
      <c r="E194" s="107" t="s">
        <v>378</v>
      </c>
      <c r="F194" s="110">
        <v>1432</v>
      </c>
      <c r="G194" s="109" t="s">
        <v>379</v>
      </c>
    </row>
    <row r="195" spans="1:7" ht="19.899999999999999">
      <c r="A195" s="104" t="s">
        <v>59</v>
      </c>
      <c r="B195" s="105" t="s">
        <v>376</v>
      </c>
      <c r="C195" s="37" t="s">
        <v>380</v>
      </c>
      <c r="D195" s="106">
        <v>2024</v>
      </c>
      <c r="E195" s="107" t="s">
        <v>113</v>
      </c>
      <c r="F195" s="112"/>
      <c r="G195" s="109" t="s">
        <v>379</v>
      </c>
    </row>
    <row r="196" spans="1:7" ht="19.899999999999999" hidden="1">
      <c r="A196" s="104" t="s">
        <v>59</v>
      </c>
      <c r="B196" s="105" t="s">
        <v>376</v>
      </c>
      <c r="C196" s="37" t="s">
        <v>381</v>
      </c>
      <c r="D196" s="106">
        <v>2022</v>
      </c>
      <c r="E196" s="107" t="s">
        <v>378</v>
      </c>
      <c r="F196" s="110">
        <v>1091</v>
      </c>
      <c r="G196" s="109" t="s">
        <v>379</v>
      </c>
    </row>
    <row r="197" spans="1:7" ht="19.899999999999999" hidden="1">
      <c r="A197" s="104" t="s">
        <v>59</v>
      </c>
      <c r="B197" s="105" t="s">
        <v>376</v>
      </c>
      <c r="C197" s="37" t="s">
        <v>45</v>
      </c>
      <c r="D197" s="106" t="s">
        <v>382</v>
      </c>
      <c r="E197" s="107" t="s">
        <v>383</v>
      </c>
      <c r="F197" s="110">
        <v>120584</v>
      </c>
      <c r="G197" s="109" t="s">
        <v>384</v>
      </c>
    </row>
    <row r="198" spans="1:7" ht="19.899999999999999">
      <c r="A198" s="104" t="s">
        <v>59</v>
      </c>
      <c r="B198" s="105" t="s">
        <v>376</v>
      </c>
      <c r="C198" s="37" t="s">
        <v>385</v>
      </c>
      <c r="D198" s="106" t="s">
        <v>382</v>
      </c>
      <c r="E198" s="107" t="s">
        <v>113</v>
      </c>
      <c r="F198" s="112"/>
      <c r="G198" s="109" t="s">
        <v>384</v>
      </c>
    </row>
    <row r="199" spans="1:7" ht="19.899999999999999" hidden="1">
      <c r="A199" s="104" t="s">
        <v>59</v>
      </c>
      <c r="B199" s="105" t="s">
        <v>376</v>
      </c>
      <c r="C199" s="37" t="s">
        <v>386</v>
      </c>
      <c r="D199" s="106" t="s">
        <v>387</v>
      </c>
      <c r="E199" s="107" t="s">
        <v>383</v>
      </c>
      <c r="F199" s="110">
        <v>113887</v>
      </c>
      <c r="G199" s="109" t="s">
        <v>384</v>
      </c>
    </row>
    <row r="200" spans="1:7" ht="19.899999999999999" hidden="1">
      <c r="A200" s="104" t="s">
        <v>59</v>
      </c>
      <c r="B200" s="105" t="s">
        <v>376</v>
      </c>
      <c r="C200" s="37" t="s">
        <v>388</v>
      </c>
      <c r="D200" s="106" t="s">
        <v>382</v>
      </c>
      <c r="E200" s="107" t="s">
        <v>113</v>
      </c>
      <c r="F200" s="112">
        <v>0.39300000000000002</v>
      </c>
      <c r="G200" s="109" t="s">
        <v>384</v>
      </c>
    </row>
    <row r="201" spans="1:7" ht="19.899999999999999" hidden="1">
      <c r="A201" s="104" t="s">
        <v>59</v>
      </c>
      <c r="B201" s="105" t="s">
        <v>389</v>
      </c>
      <c r="C201" s="37" t="s">
        <v>390</v>
      </c>
      <c r="D201" s="106">
        <v>2023</v>
      </c>
      <c r="E201" s="107" t="s">
        <v>352</v>
      </c>
      <c r="F201" s="112">
        <v>0.45300000000000001</v>
      </c>
      <c r="G201" s="109" t="s">
        <v>391</v>
      </c>
    </row>
    <row r="202" spans="1:7" ht="19.899999999999999" hidden="1">
      <c r="A202" s="104" t="s">
        <v>59</v>
      </c>
      <c r="B202" s="105" t="s">
        <v>389</v>
      </c>
      <c r="C202" s="37" t="s">
        <v>392</v>
      </c>
      <c r="D202" s="106">
        <v>2023</v>
      </c>
      <c r="E202" s="107" t="s">
        <v>352</v>
      </c>
      <c r="F202" s="112">
        <v>0.60127817065879197</v>
      </c>
      <c r="G202" s="109" t="s">
        <v>391</v>
      </c>
    </row>
    <row r="203" spans="1:7" ht="19.899999999999999" hidden="1">
      <c r="A203" s="104" t="s">
        <v>59</v>
      </c>
      <c r="B203" s="105" t="s">
        <v>389</v>
      </c>
      <c r="C203" s="37" t="s">
        <v>393</v>
      </c>
      <c r="D203" s="106">
        <v>2023</v>
      </c>
      <c r="E203" s="107" t="s">
        <v>352</v>
      </c>
      <c r="F203" s="112">
        <v>0.77752811251017995</v>
      </c>
      <c r="G203" s="109" t="s">
        <v>391</v>
      </c>
    </row>
    <row r="204" spans="1:7" ht="19.899999999999999" hidden="1">
      <c r="A204" s="104" t="s">
        <v>59</v>
      </c>
      <c r="B204" s="105" t="s">
        <v>389</v>
      </c>
      <c r="C204" s="37" t="s">
        <v>394</v>
      </c>
      <c r="D204" s="106">
        <v>2023</v>
      </c>
      <c r="E204" s="107" t="s">
        <v>352</v>
      </c>
      <c r="F204" s="112">
        <v>0.28517389017738798</v>
      </c>
      <c r="G204" s="109" t="s">
        <v>391</v>
      </c>
    </row>
    <row r="205" spans="1:7" ht="19.899999999999999" hidden="1">
      <c r="A205" s="104" t="s">
        <v>59</v>
      </c>
      <c r="B205" s="105" t="s">
        <v>389</v>
      </c>
      <c r="C205" s="37" t="s">
        <v>395</v>
      </c>
      <c r="D205" s="106">
        <v>2023</v>
      </c>
      <c r="E205" s="107" t="s">
        <v>352</v>
      </c>
      <c r="F205" s="112">
        <v>0.45538539058135302</v>
      </c>
      <c r="G205" s="109" t="s">
        <v>391</v>
      </c>
    </row>
    <row r="206" spans="1:7" ht="19.899999999999999" hidden="1">
      <c r="A206" s="104" t="s">
        <v>59</v>
      </c>
      <c r="B206" s="105" t="s">
        <v>389</v>
      </c>
      <c r="C206" s="37" t="s">
        <v>396</v>
      </c>
      <c r="D206" s="106">
        <v>2023</v>
      </c>
      <c r="E206" s="107" t="s">
        <v>352</v>
      </c>
      <c r="F206" s="112">
        <v>0.71270111113033896</v>
      </c>
      <c r="G206" s="109" t="s">
        <v>391</v>
      </c>
    </row>
    <row r="207" spans="1:7" ht="19.899999999999999" hidden="1">
      <c r="A207" s="104" t="s">
        <v>59</v>
      </c>
      <c r="B207" s="105" t="s">
        <v>389</v>
      </c>
      <c r="C207" s="37" t="s">
        <v>397</v>
      </c>
      <c r="D207" s="106">
        <v>2023</v>
      </c>
      <c r="E207" s="107" t="s">
        <v>352</v>
      </c>
      <c r="F207" s="112">
        <v>0.97489348523012098</v>
      </c>
      <c r="G207" s="109" t="s">
        <v>391</v>
      </c>
    </row>
    <row r="208" spans="1:7" ht="39.6" hidden="1">
      <c r="A208" s="104" t="s">
        <v>61</v>
      </c>
      <c r="B208" s="105" t="s">
        <v>398</v>
      </c>
      <c r="C208" s="37" t="s">
        <v>399</v>
      </c>
      <c r="D208" s="106"/>
      <c r="E208" s="107" t="s">
        <v>113</v>
      </c>
      <c r="F208" s="111">
        <v>1.10617585159506E-2</v>
      </c>
      <c r="G208" s="109" t="s">
        <v>164</v>
      </c>
    </row>
    <row r="209" spans="1:7" ht="19.899999999999999" hidden="1">
      <c r="A209" s="104" t="s">
        <v>61</v>
      </c>
      <c r="B209" s="105" t="s">
        <v>398</v>
      </c>
      <c r="C209" s="37" t="s">
        <v>400</v>
      </c>
      <c r="D209" s="106"/>
      <c r="E209" s="107" t="s">
        <v>113</v>
      </c>
      <c r="F209" s="111">
        <v>5.34745510593614E-2</v>
      </c>
      <c r="G209" s="109" t="s">
        <v>164</v>
      </c>
    </row>
    <row r="210" spans="1:7" ht="19.899999999999999" hidden="1">
      <c r="A210" s="104" t="s">
        <v>61</v>
      </c>
      <c r="B210" s="105" t="s">
        <v>398</v>
      </c>
      <c r="C210" s="37" t="s">
        <v>401</v>
      </c>
      <c r="D210" s="106"/>
      <c r="E210" s="107" t="s">
        <v>113</v>
      </c>
      <c r="F210" s="111">
        <v>0.38984937078742599</v>
      </c>
      <c r="G210" s="109" t="s">
        <v>164</v>
      </c>
    </row>
    <row r="211" spans="1:7" ht="19.899999999999999" hidden="1">
      <c r="A211" s="104" t="s">
        <v>61</v>
      </c>
      <c r="B211" s="105" t="s">
        <v>398</v>
      </c>
      <c r="C211" s="37" t="s">
        <v>402</v>
      </c>
      <c r="D211" s="106"/>
      <c r="E211" s="107" t="s">
        <v>113</v>
      </c>
      <c r="F211" s="111">
        <v>0.23871895971089299</v>
      </c>
      <c r="G211" s="109" t="s">
        <v>164</v>
      </c>
    </row>
    <row r="212" spans="1:7" ht="19.899999999999999" hidden="1">
      <c r="A212" s="104" t="s">
        <v>61</v>
      </c>
      <c r="B212" s="105" t="s">
        <v>398</v>
      </c>
      <c r="C212" s="37" t="s">
        <v>403</v>
      </c>
      <c r="D212" s="106"/>
      <c r="E212" s="107" t="s">
        <v>113</v>
      </c>
      <c r="F212" s="111">
        <v>1.10193415900019E-2</v>
      </c>
      <c r="G212" s="109" t="s">
        <v>164</v>
      </c>
    </row>
    <row r="213" spans="1:7" ht="39.6" hidden="1">
      <c r="A213" s="104" t="s">
        <v>61</v>
      </c>
      <c r="B213" s="105" t="s">
        <v>398</v>
      </c>
      <c r="C213" s="37" t="s">
        <v>404</v>
      </c>
      <c r="D213" s="106"/>
      <c r="E213" s="107" t="s">
        <v>113</v>
      </c>
      <c r="F213" s="111">
        <v>0.23016117322575999</v>
      </c>
      <c r="G213" s="109" t="s">
        <v>164</v>
      </c>
    </row>
    <row r="214" spans="1:7" ht="19.899999999999999" hidden="1">
      <c r="A214" s="104" t="s">
        <v>61</v>
      </c>
      <c r="B214" s="105" t="s">
        <v>398</v>
      </c>
      <c r="C214" s="37" t="s">
        <v>405</v>
      </c>
      <c r="D214" s="106"/>
      <c r="E214" s="107" t="s">
        <v>113</v>
      </c>
      <c r="F214" s="111">
        <v>4.2307318076551401E-2</v>
      </c>
      <c r="G214" s="109" t="s">
        <v>164</v>
      </c>
    </row>
    <row r="215" spans="1:7" ht="19.899999999999999" hidden="1">
      <c r="A215" s="104" t="s">
        <v>61</v>
      </c>
      <c r="B215" s="105" t="s">
        <v>398</v>
      </c>
      <c r="C215" s="37" t="s">
        <v>406</v>
      </c>
      <c r="D215" s="106"/>
      <c r="E215" s="107" t="s">
        <v>113</v>
      </c>
      <c r="F215" s="111">
        <v>1.90337899676522E-2</v>
      </c>
      <c r="G215" s="109" t="s">
        <v>164</v>
      </c>
    </row>
    <row r="216" spans="1:7" ht="19.899999999999999" hidden="1">
      <c r="A216" s="104" t="s">
        <v>63</v>
      </c>
      <c r="B216" s="105" t="s">
        <v>407</v>
      </c>
      <c r="C216" s="37" t="s">
        <v>408</v>
      </c>
      <c r="D216" s="106">
        <v>2026</v>
      </c>
      <c r="E216" s="107" t="s">
        <v>409</v>
      </c>
      <c r="F216" s="108">
        <v>609</v>
      </c>
      <c r="G216" s="109" t="s">
        <v>410</v>
      </c>
    </row>
    <row r="217" spans="1:7" ht="19.899999999999999" hidden="1">
      <c r="A217" s="104" t="s">
        <v>63</v>
      </c>
      <c r="B217" s="105" t="s">
        <v>407</v>
      </c>
      <c r="C217" s="37" t="s">
        <v>411</v>
      </c>
      <c r="D217" s="106">
        <v>2026</v>
      </c>
      <c r="E217" s="107" t="s">
        <v>409</v>
      </c>
      <c r="F217" s="108">
        <v>631</v>
      </c>
      <c r="G217" s="109" t="s">
        <v>410</v>
      </c>
    </row>
    <row r="218" spans="1:7" ht="19.899999999999999" hidden="1">
      <c r="A218" s="104" t="s">
        <v>63</v>
      </c>
      <c r="B218" s="105" t="s">
        <v>407</v>
      </c>
      <c r="C218" s="37" t="s">
        <v>412</v>
      </c>
      <c r="D218" s="106">
        <v>2025</v>
      </c>
      <c r="E218" s="107" t="s">
        <v>409</v>
      </c>
      <c r="F218" s="108">
        <v>596</v>
      </c>
      <c r="G218" s="109" t="s">
        <v>410</v>
      </c>
    </row>
    <row r="219" spans="1:7" ht="19.899999999999999" hidden="1">
      <c r="A219" s="104" t="s">
        <v>63</v>
      </c>
      <c r="B219" s="105" t="s">
        <v>407</v>
      </c>
      <c r="C219" s="37" t="s">
        <v>413</v>
      </c>
      <c r="D219" s="106">
        <v>2025</v>
      </c>
      <c r="E219" s="107" t="s">
        <v>409</v>
      </c>
      <c r="F219" s="108">
        <v>625</v>
      </c>
      <c r="G219" s="109" t="s">
        <v>410</v>
      </c>
    </row>
    <row r="220" spans="1:7" ht="19.899999999999999" hidden="1">
      <c r="A220" s="104" t="s">
        <v>63</v>
      </c>
      <c r="B220" s="105" t="s">
        <v>414</v>
      </c>
      <c r="C220" s="37" t="s">
        <v>415</v>
      </c>
      <c r="D220" s="106">
        <v>2024</v>
      </c>
      <c r="E220" s="107" t="s">
        <v>409</v>
      </c>
      <c r="F220" s="108">
        <v>264</v>
      </c>
      <c r="G220" s="109" t="s">
        <v>416</v>
      </c>
    </row>
    <row r="221" spans="1:7" ht="19.899999999999999" hidden="1">
      <c r="A221" s="104" t="s">
        <v>63</v>
      </c>
      <c r="B221" s="105" t="s">
        <v>414</v>
      </c>
      <c r="C221" s="37" t="s">
        <v>417</v>
      </c>
      <c r="D221" s="106">
        <v>2024</v>
      </c>
      <c r="E221" s="107" t="s">
        <v>409</v>
      </c>
      <c r="F221" s="108">
        <v>278</v>
      </c>
      <c r="G221" s="109" t="s">
        <v>416</v>
      </c>
    </row>
    <row r="222" spans="1:7" ht="19.899999999999999" hidden="1">
      <c r="A222" s="104" t="s">
        <v>63</v>
      </c>
      <c r="B222" s="105" t="s">
        <v>414</v>
      </c>
      <c r="C222" s="37" t="s">
        <v>418</v>
      </c>
      <c r="D222" s="106">
        <v>2024</v>
      </c>
      <c r="E222" s="107" t="s">
        <v>409</v>
      </c>
      <c r="F222" s="108">
        <v>245</v>
      </c>
      <c r="G222" s="109" t="s">
        <v>416</v>
      </c>
    </row>
    <row r="223" spans="1:7" ht="19.899999999999999" hidden="1">
      <c r="A223" s="104" t="s">
        <v>63</v>
      </c>
      <c r="B223" s="105" t="s">
        <v>414</v>
      </c>
      <c r="C223" s="37" t="s">
        <v>419</v>
      </c>
      <c r="D223" s="106">
        <v>2024</v>
      </c>
      <c r="E223" s="107" t="s">
        <v>409</v>
      </c>
      <c r="F223" s="108">
        <v>249</v>
      </c>
      <c r="G223" s="109" t="s">
        <v>416</v>
      </c>
    </row>
    <row r="224" spans="1:7" ht="19.899999999999999" hidden="1">
      <c r="A224" s="104" t="s">
        <v>63</v>
      </c>
      <c r="B224" s="105" t="s">
        <v>414</v>
      </c>
      <c r="C224" s="37" t="s">
        <v>420</v>
      </c>
      <c r="D224" s="106">
        <v>2024</v>
      </c>
      <c r="E224" s="107" t="s">
        <v>409</v>
      </c>
      <c r="F224" s="108">
        <v>259</v>
      </c>
      <c r="G224" s="109" t="s">
        <v>416</v>
      </c>
    </row>
    <row r="225" spans="1:7" ht="19.899999999999999" hidden="1">
      <c r="A225" s="104" t="s">
        <v>63</v>
      </c>
      <c r="B225" s="105" t="s">
        <v>414</v>
      </c>
      <c r="C225" s="37" t="s">
        <v>421</v>
      </c>
      <c r="D225" s="106">
        <v>2024</v>
      </c>
      <c r="E225" s="107" t="s">
        <v>409</v>
      </c>
      <c r="F225" s="108">
        <v>249</v>
      </c>
      <c r="G225" s="109" t="s">
        <v>416</v>
      </c>
    </row>
    <row r="226" spans="1:7" ht="19.899999999999999" hidden="1">
      <c r="A226" s="104" t="s">
        <v>63</v>
      </c>
      <c r="B226" s="105" t="s">
        <v>422</v>
      </c>
      <c r="C226" s="37" t="s">
        <v>423</v>
      </c>
      <c r="D226" s="106">
        <v>2024</v>
      </c>
      <c r="E226" s="107" t="s">
        <v>134</v>
      </c>
      <c r="F226" s="108">
        <v>12.1</v>
      </c>
      <c r="G226" s="109" t="s">
        <v>141</v>
      </c>
    </row>
    <row r="227" spans="1:7" ht="19.899999999999999" hidden="1">
      <c r="A227" s="104" t="s">
        <v>63</v>
      </c>
      <c r="B227" s="105" t="s">
        <v>424</v>
      </c>
      <c r="C227" s="37" t="s">
        <v>425</v>
      </c>
      <c r="D227" s="106">
        <v>2025</v>
      </c>
      <c r="E227" s="107" t="s">
        <v>113</v>
      </c>
      <c r="F227" s="112">
        <v>0.874</v>
      </c>
      <c r="G227" s="109" t="s">
        <v>426</v>
      </c>
    </row>
    <row r="228" spans="1:7" ht="19.899999999999999" hidden="1">
      <c r="A228" s="104" t="s">
        <v>63</v>
      </c>
      <c r="B228" s="105" t="s">
        <v>424</v>
      </c>
      <c r="C228" s="37" t="s">
        <v>427</v>
      </c>
      <c r="D228" s="106">
        <v>2025</v>
      </c>
      <c r="E228" s="107" t="s">
        <v>113</v>
      </c>
      <c r="F228" s="112">
        <v>0.26700000000000002</v>
      </c>
      <c r="G228" s="109" t="s">
        <v>426</v>
      </c>
    </row>
    <row r="229" spans="1:7" ht="19.899999999999999" hidden="1">
      <c r="A229" s="104" t="s">
        <v>63</v>
      </c>
      <c r="B229" s="105" t="s">
        <v>428</v>
      </c>
      <c r="C229" s="37" t="s">
        <v>429</v>
      </c>
      <c r="D229" s="106">
        <v>2025</v>
      </c>
      <c r="E229" s="107" t="s">
        <v>110</v>
      </c>
      <c r="F229" s="110">
        <v>1455639</v>
      </c>
      <c r="G229" s="109" t="s">
        <v>430</v>
      </c>
    </row>
    <row r="230" spans="1:7" ht="19.899999999999999" hidden="1">
      <c r="A230" s="104" t="s">
        <v>63</v>
      </c>
      <c r="B230" s="105" t="s">
        <v>428</v>
      </c>
      <c r="C230" s="37" t="s">
        <v>431</v>
      </c>
      <c r="D230" s="106">
        <v>2024</v>
      </c>
      <c r="E230" s="107" t="s">
        <v>110</v>
      </c>
      <c r="F230" s="110">
        <v>1386099</v>
      </c>
      <c r="G230" s="109" t="s">
        <v>430</v>
      </c>
    </row>
    <row r="231" spans="1:7" ht="19.899999999999999" hidden="1">
      <c r="A231" s="104" t="s">
        <v>63</v>
      </c>
      <c r="B231" s="105" t="s">
        <v>428</v>
      </c>
      <c r="C231" s="37" t="s">
        <v>432</v>
      </c>
      <c r="D231" s="106">
        <v>2023</v>
      </c>
      <c r="E231" s="107" t="s">
        <v>110</v>
      </c>
      <c r="F231" s="110">
        <v>1341448</v>
      </c>
      <c r="G231" s="109" t="s">
        <v>430</v>
      </c>
    </row>
    <row r="232" spans="1:7" ht="19.899999999999999" hidden="1">
      <c r="A232" s="104" t="s">
        <v>63</v>
      </c>
      <c r="B232" s="105" t="s">
        <v>428</v>
      </c>
      <c r="C232" s="37" t="s">
        <v>433</v>
      </c>
      <c r="D232" s="106">
        <v>2022</v>
      </c>
      <c r="E232" s="107" t="s">
        <v>110</v>
      </c>
      <c r="F232" s="110">
        <v>1304147</v>
      </c>
      <c r="G232" s="109" t="s">
        <v>430</v>
      </c>
    </row>
    <row r="233" spans="1:7" ht="19.899999999999999" hidden="1">
      <c r="A233" s="104" t="s">
        <v>63</v>
      </c>
      <c r="B233" s="105" t="s">
        <v>428</v>
      </c>
      <c r="C233" s="37" t="s">
        <v>434</v>
      </c>
      <c r="D233" s="106">
        <v>2021</v>
      </c>
      <c r="E233" s="107" t="s">
        <v>110</v>
      </c>
      <c r="F233" s="110">
        <v>1294701</v>
      </c>
      <c r="G233" s="109" t="s">
        <v>430</v>
      </c>
    </row>
    <row r="234" spans="1:7" ht="39.6" hidden="1">
      <c r="A234" s="104" t="s">
        <v>65</v>
      </c>
      <c r="B234" s="105" t="s">
        <v>435</v>
      </c>
      <c r="C234" s="37" t="s">
        <v>436</v>
      </c>
      <c r="D234" s="106">
        <v>2025</v>
      </c>
      <c r="E234" s="107" t="s">
        <v>110</v>
      </c>
      <c r="F234" s="110">
        <v>2239224</v>
      </c>
      <c r="G234" s="109" t="s">
        <v>437</v>
      </c>
    </row>
    <row r="235" spans="1:7" ht="19.899999999999999" hidden="1">
      <c r="A235" s="104" t="s">
        <v>65</v>
      </c>
      <c r="B235" s="105" t="s">
        <v>435</v>
      </c>
      <c r="C235" s="37" t="s">
        <v>438</v>
      </c>
      <c r="D235" s="106">
        <v>2025</v>
      </c>
      <c r="E235" s="107" t="s">
        <v>110</v>
      </c>
      <c r="F235" s="110">
        <v>363027</v>
      </c>
      <c r="G235" s="109" t="s">
        <v>437</v>
      </c>
    </row>
    <row r="236" spans="1:7" ht="39.6">
      <c r="A236" s="104" t="s">
        <v>65</v>
      </c>
      <c r="B236" s="105" t="s">
        <v>435</v>
      </c>
      <c r="C236" s="37" t="s">
        <v>439</v>
      </c>
      <c r="D236" s="106">
        <v>2025</v>
      </c>
      <c r="E236" s="107" t="s">
        <v>440</v>
      </c>
      <c r="F236" s="115">
        <v>1108.0999999999999</v>
      </c>
      <c r="G236" s="109" t="s">
        <v>437</v>
      </c>
    </row>
    <row r="237" spans="1:7" ht="19.899999999999999" hidden="1">
      <c r="A237" s="104" t="s">
        <v>65</v>
      </c>
      <c r="B237" s="105" t="s">
        <v>435</v>
      </c>
      <c r="C237" s="37" t="s">
        <v>441</v>
      </c>
      <c r="D237" s="106">
        <v>2025</v>
      </c>
      <c r="E237" s="107" t="s">
        <v>440</v>
      </c>
      <c r="F237" s="115">
        <v>179.7</v>
      </c>
      <c r="G237" s="109" t="s">
        <v>437</v>
      </c>
    </row>
    <row r="238" spans="1:7" ht="39.6" hidden="1">
      <c r="A238" s="104" t="s">
        <v>65</v>
      </c>
      <c r="B238" s="105" t="s">
        <v>435</v>
      </c>
      <c r="C238" s="37" t="s">
        <v>442</v>
      </c>
      <c r="D238" s="106">
        <v>2025</v>
      </c>
      <c r="E238" s="107" t="s">
        <v>440</v>
      </c>
      <c r="F238" s="115">
        <v>1287.8</v>
      </c>
      <c r="G238" s="109" t="s">
        <v>437</v>
      </c>
    </row>
    <row r="239" spans="1:7" ht="19.899999999999999">
      <c r="A239" s="104" t="s">
        <v>65</v>
      </c>
      <c r="B239" s="105" t="s">
        <v>443</v>
      </c>
      <c r="C239" s="37" t="s">
        <v>444</v>
      </c>
      <c r="D239" s="106"/>
      <c r="E239" s="107" t="s">
        <v>445</v>
      </c>
      <c r="F239" s="108"/>
      <c r="G239" s="109" t="s">
        <v>437</v>
      </c>
    </row>
    <row r="240" spans="1:7" ht="19.899999999999999">
      <c r="A240" s="104" t="s">
        <v>65</v>
      </c>
      <c r="B240" s="105" t="s">
        <v>443</v>
      </c>
      <c r="C240" s="37" t="s">
        <v>446</v>
      </c>
      <c r="D240" s="106"/>
      <c r="E240" s="107" t="s">
        <v>445</v>
      </c>
      <c r="F240" s="108"/>
      <c r="G240" s="109" t="s">
        <v>437</v>
      </c>
    </row>
    <row r="241" spans="1:7" ht="19.899999999999999">
      <c r="A241" s="104" t="s">
        <v>65</v>
      </c>
      <c r="B241" s="105" t="s">
        <v>447</v>
      </c>
      <c r="C241" s="37" t="s">
        <v>448</v>
      </c>
      <c r="D241" s="106"/>
      <c r="E241" s="107" t="s">
        <v>449</v>
      </c>
      <c r="F241" s="110">
        <v>40082</v>
      </c>
      <c r="G241" s="109" t="s">
        <v>450</v>
      </c>
    </row>
    <row r="242" spans="1:7" ht="39.6">
      <c r="A242" s="104" t="s">
        <v>65</v>
      </c>
      <c r="B242" s="105" t="s">
        <v>447</v>
      </c>
      <c r="C242" s="37" t="s">
        <v>451</v>
      </c>
      <c r="D242" s="106"/>
      <c r="E242" s="107" t="s">
        <v>113</v>
      </c>
      <c r="F242" s="112"/>
      <c r="G242" s="109" t="s">
        <v>450</v>
      </c>
    </row>
    <row r="243" spans="1:7" ht="19.899999999999999">
      <c r="A243" s="104" t="s">
        <v>65</v>
      </c>
      <c r="B243" s="105" t="s">
        <v>452</v>
      </c>
      <c r="C243" s="37" t="s">
        <v>453</v>
      </c>
      <c r="D243" s="106"/>
      <c r="E243" s="107" t="s">
        <v>454</v>
      </c>
      <c r="F243" s="119">
        <v>20</v>
      </c>
      <c r="G243" s="109" t="s">
        <v>450</v>
      </c>
    </row>
    <row r="244" spans="1:7" ht="39.6">
      <c r="A244" s="104" t="s">
        <v>65</v>
      </c>
      <c r="B244" s="105" t="s">
        <v>452</v>
      </c>
      <c r="C244" s="37" t="s">
        <v>455</v>
      </c>
      <c r="D244" s="106"/>
      <c r="E244" s="107" t="s">
        <v>456</v>
      </c>
      <c r="F244" s="119">
        <v>14.5</v>
      </c>
      <c r="G244" s="109" t="s">
        <v>450</v>
      </c>
    </row>
    <row r="245" spans="1:7" ht="19.899999999999999">
      <c r="A245" s="104" t="s">
        <v>65</v>
      </c>
      <c r="B245" s="105" t="s">
        <v>457</v>
      </c>
      <c r="C245" s="37" t="s">
        <v>458</v>
      </c>
      <c r="D245" s="106">
        <v>2023</v>
      </c>
      <c r="E245" s="107" t="s">
        <v>459</v>
      </c>
      <c r="F245" s="110">
        <v>37397</v>
      </c>
      <c r="G245" s="109" t="s">
        <v>460</v>
      </c>
    </row>
    <row r="246" spans="1:7" ht="19.899999999999999">
      <c r="A246" s="104" t="s">
        <v>65</v>
      </c>
      <c r="B246" s="105" t="s">
        <v>457</v>
      </c>
      <c r="C246" s="37" t="s">
        <v>461</v>
      </c>
      <c r="D246" s="106">
        <v>2023</v>
      </c>
      <c r="E246" s="107" t="s">
        <v>462</v>
      </c>
      <c r="F246" s="119">
        <v>1.9</v>
      </c>
      <c r="G246" s="109" t="s">
        <v>460</v>
      </c>
    </row>
    <row r="247" spans="1:7" ht="19.899999999999999" hidden="1">
      <c r="A247" s="104" t="s">
        <v>65</v>
      </c>
      <c r="B247" s="105" t="s">
        <v>463</v>
      </c>
      <c r="C247" s="37" t="s">
        <v>464</v>
      </c>
      <c r="D247" s="106">
        <v>2023</v>
      </c>
      <c r="E247" s="107" t="s">
        <v>459</v>
      </c>
      <c r="F247" s="110">
        <v>6532</v>
      </c>
      <c r="G247" s="109" t="s">
        <v>460</v>
      </c>
    </row>
    <row r="248" spans="1:7" ht="19.899999999999999" hidden="1">
      <c r="A248" s="104" t="s">
        <v>65</v>
      </c>
      <c r="B248" s="105" t="s">
        <v>463</v>
      </c>
      <c r="C248" s="37" t="s">
        <v>465</v>
      </c>
      <c r="D248" s="106">
        <v>2023</v>
      </c>
      <c r="E248" s="107" t="s">
        <v>466</v>
      </c>
      <c r="F248" s="120">
        <v>3.29</v>
      </c>
      <c r="G248" s="109" t="s">
        <v>460</v>
      </c>
    </row>
    <row r="249" spans="1:7" ht="19.899999999999999" hidden="1">
      <c r="A249" s="104" t="s">
        <v>50</v>
      </c>
      <c r="B249" s="105" t="s">
        <v>89</v>
      </c>
      <c r="C249" s="37" t="s">
        <v>467</v>
      </c>
      <c r="D249" s="106" t="s">
        <v>468</v>
      </c>
      <c r="E249" s="107" t="s">
        <v>113</v>
      </c>
      <c r="F249" s="112">
        <v>9.4E-2</v>
      </c>
      <c r="G249" s="109" t="s">
        <v>164</v>
      </c>
    </row>
    <row r="250" spans="1:7" ht="19.899999999999999" hidden="1">
      <c r="A250" s="104" t="s">
        <v>50</v>
      </c>
      <c r="B250" s="105" t="s">
        <v>89</v>
      </c>
      <c r="C250" s="37" t="s">
        <v>469</v>
      </c>
      <c r="D250" s="106">
        <v>2025</v>
      </c>
      <c r="E250" s="107" t="s">
        <v>113</v>
      </c>
      <c r="F250" s="112">
        <v>8.5999999999999993E-2</v>
      </c>
      <c r="G250" s="109" t="s">
        <v>164</v>
      </c>
    </row>
    <row r="251" spans="1:7" ht="19.899999999999999" hidden="1">
      <c r="A251" s="104" t="s">
        <v>50</v>
      </c>
      <c r="B251" s="105" t="s">
        <v>89</v>
      </c>
      <c r="C251" s="37" t="s">
        <v>470</v>
      </c>
      <c r="D251" s="106">
        <v>2024</v>
      </c>
      <c r="E251" s="107" t="s">
        <v>113</v>
      </c>
      <c r="F251" s="112">
        <v>8.5000000000000006E-2</v>
      </c>
      <c r="G251" s="109" t="s">
        <v>164</v>
      </c>
    </row>
    <row r="252" spans="1:7" ht="19.899999999999999" hidden="1">
      <c r="A252" s="104" t="s">
        <v>50</v>
      </c>
      <c r="B252" s="105" t="s">
        <v>89</v>
      </c>
      <c r="C252" s="37" t="s">
        <v>471</v>
      </c>
      <c r="D252" s="106">
        <v>2023</v>
      </c>
      <c r="E252" s="107" t="s">
        <v>113</v>
      </c>
      <c r="F252" s="112">
        <v>8.6999999999999994E-2</v>
      </c>
      <c r="G252" s="109" t="s">
        <v>164</v>
      </c>
    </row>
    <row r="253" spans="1:7" ht="19.899999999999999" hidden="1">
      <c r="A253" s="104" t="s">
        <v>50</v>
      </c>
      <c r="B253" s="105" t="s">
        <v>89</v>
      </c>
      <c r="C253" s="37" t="s">
        <v>472</v>
      </c>
      <c r="D253" s="106">
        <v>2022</v>
      </c>
      <c r="E253" s="107" t="s">
        <v>113</v>
      </c>
      <c r="F253" s="112">
        <v>7.9000000000000001E-2</v>
      </c>
      <c r="G253" s="109" t="s">
        <v>164</v>
      </c>
    </row>
    <row r="254" spans="1:7" ht="19.899999999999999" hidden="1">
      <c r="A254" s="104" t="s">
        <v>50</v>
      </c>
      <c r="B254" s="105" t="s">
        <v>89</v>
      </c>
      <c r="C254" s="37" t="s">
        <v>473</v>
      </c>
      <c r="D254" s="106">
        <v>2021</v>
      </c>
      <c r="E254" s="107" t="s">
        <v>113</v>
      </c>
      <c r="F254" s="112">
        <v>8.7999999999999995E-2</v>
      </c>
      <c r="G254" s="109" t="s">
        <v>164</v>
      </c>
    </row>
    <row r="255" spans="1:7" ht="19.899999999999999" hidden="1">
      <c r="A255" s="104" t="s">
        <v>50</v>
      </c>
      <c r="B255" s="105" t="s">
        <v>89</v>
      </c>
      <c r="C255" s="37" t="s">
        <v>474</v>
      </c>
      <c r="D255" s="106">
        <v>2020</v>
      </c>
      <c r="E255" s="107" t="s">
        <v>113</v>
      </c>
      <c r="F255" s="112">
        <v>0.105</v>
      </c>
      <c r="G255" s="109" t="s">
        <v>164</v>
      </c>
    </row>
    <row r="256" spans="1:7" ht="19.899999999999999" hidden="1">
      <c r="A256" s="104" t="s">
        <v>50</v>
      </c>
      <c r="B256" s="105" t="s">
        <v>89</v>
      </c>
      <c r="C256" s="37" t="s">
        <v>475</v>
      </c>
      <c r="D256" s="106">
        <v>2019</v>
      </c>
      <c r="E256" s="107" t="s">
        <v>113</v>
      </c>
      <c r="F256" s="112">
        <v>7.1999999999999995E-2</v>
      </c>
      <c r="G256" s="109" t="s">
        <v>164</v>
      </c>
    </row>
    <row r="257" spans="1:7" ht="19.899999999999999" hidden="1">
      <c r="A257" s="104" t="s">
        <v>50</v>
      </c>
      <c r="B257" s="105" t="s">
        <v>89</v>
      </c>
      <c r="C257" s="37" t="s">
        <v>476</v>
      </c>
      <c r="D257" s="106">
        <v>2018</v>
      </c>
      <c r="E257" s="107" t="s">
        <v>113</v>
      </c>
      <c r="F257" s="112">
        <v>7.3999999999999996E-2</v>
      </c>
      <c r="G257" s="109" t="s">
        <v>164</v>
      </c>
    </row>
    <row r="258" spans="1:7" ht="19.899999999999999" hidden="1">
      <c r="A258" s="104" t="s">
        <v>50</v>
      </c>
      <c r="B258" s="105" t="s">
        <v>89</v>
      </c>
      <c r="C258" s="37" t="s">
        <v>477</v>
      </c>
      <c r="D258" s="106">
        <v>2017</v>
      </c>
      <c r="E258" s="107" t="s">
        <v>113</v>
      </c>
      <c r="F258" s="112">
        <v>7.0000000000000007E-2</v>
      </c>
      <c r="G258" s="109" t="s">
        <v>164</v>
      </c>
    </row>
    <row r="259" spans="1:7" ht="19.899999999999999" hidden="1">
      <c r="A259" s="104" t="s">
        <v>50</v>
      </c>
      <c r="B259" s="105" t="s">
        <v>89</v>
      </c>
      <c r="C259" s="37" t="s">
        <v>478</v>
      </c>
      <c r="D259" s="106">
        <v>2016</v>
      </c>
      <c r="E259" s="107" t="s">
        <v>113</v>
      </c>
      <c r="F259" s="112">
        <v>6.7000000000000004E-2</v>
      </c>
      <c r="G259" s="109" t="s">
        <v>164</v>
      </c>
    </row>
    <row r="260" spans="1:7" ht="19.899999999999999" hidden="1">
      <c r="A260" s="104" t="s">
        <v>50</v>
      </c>
      <c r="B260" s="105" t="s">
        <v>89</v>
      </c>
      <c r="C260" s="37" t="s">
        <v>479</v>
      </c>
      <c r="D260" s="106">
        <v>2015</v>
      </c>
      <c r="E260" s="107" t="s">
        <v>113</v>
      </c>
      <c r="F260" s="112">
        <v>6.3E-2</v>
      </c>
      <c r="G260" s="109" t="s">
        <v>164</v>
      </c>
    </row>
    <row r="261" spans="1:7" ht="19.899999999999999" hidden="1">
      <c r="A261" s="104" t="s">
        <v>50</v>
      </c>
      <c r="B261" s="105" t="s">
        <v>89</v>
      </c>
      <c r="C261" s="37" t="s">
        <v>480</v>
      </c>
      <c r="D261" s="106" t="s">
        <v>468</v>
      </c>
      <c r="E261" s="107" t="s">
        <v>113</v>
      </c>
      <c r="F261" s="112">
        <v>8.6999999999999994E-2</v>
      </c>
      <c r="G261" s="109" t="s">
        <v>164</v>
      </c>
    </row>
    <row r="262" spans="1:7" ht="19.899999999999999" hidden="1">
      <c r="A262" s="104" t="s">
        <v>50</v>
      </c>
      <c r="B262" s="105" t="s">
        <v>89</v>
      </c>
      <c r="C262" s="37" t="s">
        <v>481</v>
      </c>
      <c r="D262" s="106">
        <v>2025</v>
      </c>
      <c r="E262" s="107" t="s">
        <v>113</v>
      </c>
      <c r="F262" s="112">
        <v>0.08</v>
      </c>
      <c r="G262" s="109" t="s">
        <v>164</v>
      </c>
    </row>
    <row r="263" spans="1:7" ht="19.899999999999999" hidden="1">
      <c r="A263" s="104" t="s">
        <v>50</v>
      </c>
      <c r="B263" s="105" t="s">
        <v>89</v>
      </c>
      <c r="C263" s="37" t="s">
        <v>482</v>
      </c>
      <c r="D263" s="106">
        <v>2024</v>
      </c>
      <c r="E263" s="107" t="s">
        <v>113</v>
      </c>
      <c r="F263" s="112">
        <v>7.9000000000000001E-2</v>
      </c>
      <c r="G263" s="109" t="s">
        <v>164</v>
      </c>
    </row>
    <row r="264" spans="1:7" ht="19.899999999999999" hidden="1">
      <c r="A264" s="104" t="s">
        <v>50</v>
      </c>
      <c r="B264" s="105" t="s">
        <v>89</v>
      </c>
      <c r="C264" s="37" t="s">
        <v>483</v>
      </c>
      <c r="D264" s="106">
        <v>2023</v>
      </c>
      <c r="E264" s="107" t="s">
        <v>113</v>
      </c>
      <c r="F264" s="112">
        <v>8.4000000000000005E-2</v>
      </c>
      <c r="G264" s="109" t="s">
        <v>164</v>
      </c>
    </row>
    <row r="265" spans="1:7" ht="19.899999999999999" hidden="1">
      <c r="A265" s="104" t="s">
        <v>50</v>
      </c>
      <c r="B265" s="105" t="s">
        <v>89</v>
      </c>
      <c r="C265" s="37" t="s">
        <v>484</v>
      </c>
      <c r="D265" s="106">
        <v>2022</v>
      </c>
      <c r="E265" s="107" t="s">
        <v>113</v>
      </c>
      <c r="F265" s="112">
        <v>7.3999999999999996E-2</v>
      </c>
      <c r="G265" s="109" t="s">
        <v>164</v>
      </c>
    </row>
    <row r="266" spans="1:7" ht="19.899999999999999" hidden="1">
      <c r="A266" s="104" t="s">
        <v>50</v>
      </c>
      <c r="B266" s="105" t="s">
        <v>89</v>
      </c>
      <c r="C266" s="37" t="s">
        <v>485</v>
      </c>
      <c r="D266" s="106">
        <v>2021</v>
      </c>
      <c r="E266" s="107" t="s">
        <v>113</v>
      </c>
      <c r="F266" s="112">
        <v>8.5999999999999993E-2</v>
      </c>
      <c r="G266" s="109" t="s">
        <v>164</v>
      </c>
    </row>
    <row r="267" spans="1:7" ht="19.899999999999999" hidden="1">
      <c r="A267" s="104" t="s">
        <v>50</v>
      </c>
      <c r="B267" s="105" t="s">
        <v>89</v>
      </c>
      <c r="C267" s="37" t="s">
        <v>486</v>
      </c>
      <c r="D267" s="106">
        <v>2020</v>
      </c>
      <c r="E267" s="107" t="s">
        <v>113</v>
      </c>
      <c r="F267" s="112">
        <v>0.10299999999999999</v>
      </c>
      <c r="G267" s="109" t="s">
        <v>164</v>
      </c>
    </row>
    <row r="268" spans="1:7" ht="19.899999999999999" hidden="1">
      <c r="A268" s="104" t="s">
        <v>50</v>
      </c>
      <c r="B268" s="105" t="s">
        <v>89</v>
      </c>
      <c r="C268" s="37" t="s">
        <v>487</v>
      </c>
      <c r="D268" s="106">
        <v>2019</v>
      </c>
      <c r="E268" s="107" t="s">
        <v>113</v>
      </c>
      <c r="F268" s="112">
        <v>6.7000000000000004E-2</v>
      </c>
      <c r="G268" s="109" t="s">
        <v>164</v>
      </c>
    </row>
    <row r="269" spans="1:7" ht="19.899999999999999" hidden="1">
      <c r="A269" s="104" t="s">
        <v>50</v>
      </c>
      <c r="B269" s="105" t="s">
        <v>89</v>
      </c>
      <c r="C269" s="37" t="s">
        <v>488</v>
      </c>
      <c r="D269" s="106">
        <v>2018</v>
      </c>
      <c r="E269" s="107" t="s">
        <v>113</v>
      </c>
      <c r="F269" s="112">
        <v>6.7000000000000004E-2</v>
      </c>
      <c r="G269" s="109" t="s">
        <v>164</v>
      </c>
    </row>
    <row r="270" spans="1:7" ht="19.899999999999999" hidden="1">
      <c r="A270" s="104" t="s">
        <v>50</v>
      </c>
      <c r="B270" s="105" t="s">
        <v>89</v>
      </c>
      <c r="C270" s="37" t="s">
        <v>489</v>
      </c>
      <c r="D270" s="106">
        <v>2017</v>
      </c>
      <c r="E270" s="107" t="s">
        <v>113</v>
      </c>
      <c r="F270" s="112">
        <v>6.5000000000000002E-2</v>
      </c>
      <c r="G270" s="109" t="s">
        <v>164</v>
      </c>
    </row>
    <row r="271" spans="1:7" ht="19.899999999999999" hidden="1">
      <c r="A271" s="104" t="s">
        <v>50</v>
      </c>
      <c r="B271" s="105" t="s">
        <v>89</v>
      </c>
      <c r="C271" s="37" t="s">
        <v>490</v>
      </c>
      <c r="D271" s="106">
        <v>2016</v>
      </c>
      <c r="E271" s="107" t="s">
        <v>113</v>
      </c>
      <c r="F271" s="112">
        <v>6.3E-2</v>
      </c>
      <c r="G271" s="109" t="s">
        <v>164</v>
      </c>
    </row>
    <row r="272" spans="1:7" ht="19.899999999999999" hidden="1">
      <c r="A272" s="104" t="s">
        <v>50</v>
      </c>
      <c r="B272" s="105" t="s">
        <v>89</v>
      </c>
      <c r="C272" s="37" t="s">
        <v>491</v>
      </c>
      <c r="D272" s="106">
        <v>2015</v>
      </c>
      <c r="E272" s="107" t="s">
        <v>113</v>
      </c>
      <c r="F272" s="112">
        <v>5.8000000000000003E-2</v>
      </c>
      <c r="G272" s="109" t="s">
        <v>164</v>
      </c>
    </row>
    <row r="273" spans="1:7" ht="19.899999999999999" hidden="1">
      <c r="A273" s="104" t="s">
        <v>50</v>
      </c>
      <c r="B273" s="105" t="s">
        <v>89</v>
      </c>
      <c r="C273" s="37" t="s">
        <v>492</v>
      </c>
      <c r="D273" s="106" t="s">
        <v>468</v>
      </c>
      <c r="E273" s="107" t="s">
        <v>113</v>
      </c>
      <c r="F273" s="112">
        <v>0.104</v>
      </c>
      <c r="G273" s="109" t="s">
        <v>164</v>
      </c>
    </row>
    <row r="274" spans="1:7" ht="19.899999999999999" hidden="1">
      <c r="A274" s="104" t="s">
        <v>50</v>
      </c>
      <c r="B274" s="105" t="s">
        <v>89</v>
      </c>
      <c r="C274" s="37" t="s">
        <v>493</v>
      </c>
      <c r="D274" s="106">
        <v>2025</v>
      </c>
      <c r="E274" s="107" t="s">
        <v>113</v>
      </c>
      <c r="F274" s="112">
        <v>9.2999999999999999E-2</v>
      </c>
      <c r="G274" s="109" t="s">
        <v>164</v>
      </c>
    </row>
    <row r="275" spans="1:7" ht="19.899999999999999" hidden="1">
      <c r="A275" s="104" t="s">
        <v>50</v>
      </c>
      <c r="B275" s="105" t="s">
        <v>89</v>
      </c>
      <c r="C275" s="37" t="s">
        <v>494</v>
      </c>
      <c r="D275" s="106">
        <v>2024</v>
      </c>
      <c r="E275" s="107" t="s">
        <v>113</v>
      </c>
      <c r="F275" s="112">
        <v>9.2999999999999999E-2</v>
      </c>
      <c r="G275" s="109" t="s">
        <v>164</v>
      </c>
    </row>
    <row r="276" spans="1:7" ht="19.899999999999999" hidden="1">
      <c r="A276" s="104" t="s">
        <v>50</v>
      </c>
      <c r="B276" s="105" t="s">
        <v>89</v>
      </c>
      <c r="C276" s="37" t="s">
        <v>495</v>
      </c>
      <c r="D276" s="106">
        <v>2023</v>
      </c>
      <c r="E276" s="107" t="s">
        <v>113</v>
      </c>
      <c r="F276" s="112">
        <v>9.0999999999999998E-2</v>
      </c>
      <c r="G276" s="109" t="s">
        <v>164</v>
      </c>
    </row>
    <row r="277" spans="1:7" ht="19.899999999999999" hidden="1">
      <c r="A277" s="104" t="s">
        <v>50</v>
      </c>
      <c r="B277" s="105" t="s">
        <v>89</v>
      </c>
      <c r="C277" s="37" t="s">
        <v>496</v>
      </c>
      <c r="D277" s="106">
        <v>2022</v>
      </c>
      <c r="E277" s="107" t="s">
        <v>113</v>
      </c>
      <c r="F277" s="112">
        <v>8.5000000000000006E-2</v>
      </c>
      <c r="G277" s="109" t="s">
        <v>164</v>
      </c>
    </row>
    <row r="278" spans="1:7" ht="19.899999999999999" hidden="1">
      <c r="A278" s="104" t="s">
        <v>50</v>
      </c>
      <c r="B278" s="105" t="s">
        <v>89</v>
      </c>
      <c r="C278" s="37" t="s">
        <v>497</v>
      </c>
      <c r="D278" s="106">
        <v>2021</v>
      </c>
      <c r="E278" s="107" t="s">
        <v>113</v>
      </c>
      <c r="F278" s="112">
        <v>9.0999999999999998E-2</v>
      </c>
      <c r="G278" s="109" t="s">
        <v>164</v>
      </c>
    </row>
    <row r="279" spans="1:7" ht="19.899999999999999" hidden="1">
      <c r="A279" s="104" t="s">
        <v>50</v>
      </c>
      <c r="B279" s="105" t="s">
        <v>89</v>
      </c>
      <c r="C279" s="37" t="s">
        <v>498</v>
      </c>
      <c r="D279" s="106">
        <v>2020</v>
      </c>
      <c r="E279" s="107" t="s">
        <v>113</v>
      </c>
      <c r="F279" s="112">
        <v>0.109</v>
      </c>
      <c r="G279" s="109" t="s">
        <v>164</v>
      </c>
    </row>
    <row r="280" spans="1:7" ht="19.899999999999999" hidden="1">
      <c r="A280" s="104" t="s">
        <v>50</v>
      </c>
      <c r="B280" s="105" t="s">
        <v>89</v>
      </c>
      <c r="C280" s="37" t="s">
        <v>499</v>
      </c>
      <c r="D280" s="106">
        <v>2019</v>
      </c>
      <c r="E280" s="107" t="s">
        <v>113</v>
      </c>
      <c r="F280" s="112">
        <v>0.08</v>
      </c>
      <c r="G280" s="109" t="s">
        <v>164</v>
      </c>
    </row>
    <row r="281" spans="1:7" ht="19.899999999999999" hidden="1">
      <c r="A281" s="104" t="s">
        <v>50</v>
      </c>
      <c r="B281" s="105" t="s">
        <v>89</v>
      </c>
      <c r="C281" s="37" t="s">
        <v>500</v>
      </c>
      <c r="D281" s="106">
        <v>2018</v>
      </c>
      <c r="E281" s="107" t="s">
        <v>113</v>
      </c>
      <c r="F281" s="112">
        <v>8.3000000000000004E-2</v>
      </c>
      <c r="G281" s="109" t="s">
        <v>164</v>
      </c>
    </row>
    <row r="282" spans="1:7" ht="19.899999999999999" hidden="1">
      <c r="A282" s="104" t="s">
        <v>50</v>
      </c>
      <c r="B282" s="105" t="s">
        <v>89</v>
      </c>
      <c r="C282" s="37" t="s">
        <v>501</v>
      </c>
      <c r="D282" s="106">
        <v>2017</v>
      </c>
      <c r="E282" s="107" t="s">
        <v>113</v>
      </c>
      <c r="F282" s="112">
        <v>7.4999999999999997E-2</v>
      </c>
      <c r="G282" s="109" t="s">
        <v>164</v>
      </c>
    </row>
    <row r="283" spans="1:7" ht="19.899999999999999" hidden="1">
      <c r="A283" s="104" t="s">
        <v>50</v>
      </c>
      <c r="B283" s="105" t="s">
        <v>89</v>
      </c>
      <c r="C283" s="37" t="s">
        <v>502</v>
      </c>
      <c r="D283" s="106">
        <v>2016</v>
      </c>
      <c r="E283" s="107" t="s">
        <v>113</v>
      </c>
      <c r="F283" s="112">
        <v>7.1999999999999995E-2</v>
      </c>
      <c r="G283" s="109" t="s">
        <v>164</v>
      </c>
    </row>
    <row r="284" spans="1:7" ht="19.899999999999999" hidden="1">
      <c r="A284" s="104" t="s">
        <v>50</v>
      </c>
      <c r="B284" s="105" t="s">
        <v>89</v>
      </c>
      <c r="C284" s="37" t="s">
        <v>503</v>
      </c>
      <c r="D284" s="106">
        <v>2015</v>
      </c>
      <c r="E284" s="107" t="s">
        <v>113</v>
      </c>
      <c r="F284" s="112">
        <v>7.0000000000000007E-2</v>
      </c>
      <c r="G284" s="109" t="s">
        <v>164</v>
      </c>
    </row>
    <row r="285" spans="1:7" ht="19.899999999999999" hidden="1">
      <c r="A285" s="104" t="s">
        <v>50</v>
      </c>
      <c r="B285" s="105" t="s">
        <v>504</v>
      </c>
      <c r="C285" s="37" t="s">
        <v>505</v>
      </c>
      <c r="D285" s="106" t="s">
        <v>468</v>
      </c>
      <c r="E285" s="107" t="s">
        <v>113</v>
      </c>
      <c r="F285" s="112">
        <v>0.27</v>
      </c>
      <c r="G285" s="109" t="s">
        <v>164</v>
      </c>
    </row>
    <row r="286" spans="1:7" ht="19.899999999999999" hidden="1">
      <c r="A286" s="104" t="s">
        <v>50</v>
      </c>
      <c r="B286" s="105" t="s">
        <v>504</v>
      </c>
      <c r="C286" s="37" t="s">
        <v>506</v>
      </c>
      <c r="D286" s="106">
        <v>2025</v>
      </c>
      <c r="E286" s="107" t="s">
        <v>113</v>
      </c>
      <c r="F286" s="112">
        <v>0.26200000000000001</v>
      </c>
      <c r="G286" s="109" t="s">
        <v>164</v>
      </c>
    </row>
    <row r="287" spans="1:7" ht="19.899999999999999" hidden="1">
      <c r="A287" s="104" t="s">
        <v>50</v>
      </c>
      <c r="B287" s="105" t="s">
        <v>504</v>
      </c>
      <c r="C287" s="37" t="s">
        <v>507</v>
      </c>
      <c r="D287" s="106">
        <v>2024</v>
      </c>
      <c r="E287" s="107" t="s">
        <v>113</v>
      </c>
      <c r="F287" s="112">
        <v>0.26900000000000002</v>
      </c>
      <c r="G287" s="109" t="s">
        <v>164</v>
      </c>
    </row>
    <row r="288" spans="1:7" ht="19.899999999999999" hidden="1">
      <c r="A288" s="104" t="s">
        <v>50</v>
      </c>
      <c r="B288" s="105" t="s">
        <v>504</v>
      </c>
      <c r="C288" s="37" t="s">
        <v>508</v>
      </c>
      <c r="D288" s="106">
        <v>2023</v>
      </c>
      <c r="E288" s="107" t="s">
        <v>113</v>
      </c>
      <c r="F288" s="112">
        <v>0.27200000000000002</v>
      </c>
      <c r="G288" s="109" t="s">
        <v>164</v>
      </c>
    </row>
    <row r="289" spans="1:7" ht="19.899999999999999" hidden="1">
      <c r="A289" s="104" t="s">
        <v>50</v>
      </c>
      <c r="B289" s="105" t="s">
        <v>504</v>
      </c>
      <c r="C289" s="37" t="s">
        <v>509</v>
      </c>
      <c r="D289" s="106">
        <v>2022</v>
      </c>
      <c r="E289" s="107" t="s">
        <v>113</v>
      </c>
      <c r="F289" s="112">
        <v>0.27200000000000002</v>
      </c>
      <c r="G289" s="109" t="s">
        <v>164</v>
      </c>
    </row>
    <row r="290" spans="1:7" ht="19.899999999999999" hidden="1">
      <c r="A290" s="104" t="s">
        <v>50</v>
      </c>
      <c r="B290" s="105" t="s">
        <v>504</v>
      </c>
      <c r="C290" s="37" t="s">
        <v>510</v>
      </c>
      <c r="D290" s="106">
        <v>2021</v>
      </c>
      <c r="E290" s="107" t="s">
        <v>113</v>
      </c>
      <c r="F290" s="112">
        <v>0.27200000000000002</v>
      </c>
      <c r="G290" s="109" t="s">
        <v>164</v>
      </c>
    </row>
    <row r="291" spans="1:7" ht="19.899999999999999" hidden="1">
      <c r="A291" s="104" t="s">
        <v>50</v>
      </c>
      <c r="B291" s="105" t="s">
        <v>504</v>
      </c>
      <c r="C291" s="37" t="s">
        <v>511</v>
      </c>
      <c r="D291" s="106">
        <v>2020</v>
      </c>
      <c r="E291" s="107" t="s">
        <v>113</v>
      </c>
      <c r="F291" s="112">
        <v>0.25700000000000001</v>
      </c>
      <c r="G291" s="109" t="s">
        <v>164</v>
      </c>
    </row>
    <row r="292" spans="1:7" ht="19.899999999999999" hidden="1">
      <c r="A292" s="104" t="s">
        <v>50</v>
      </c>
      <c r="B292" s="105" t="s">
        <v>504</v>
      </c>
      <c r="C292" s="37" t="s">
        <v>512</v>
      </c>
      <c r="D292" s="106">
        <v>2019</v>
      </c>
      <c r="E292" s="107" t="s">
        <v>113</v>
      </c>
      <c r="F292" s="112">
        <v>0.28399999999999997</v>
      </c>
      <c r="G292" s="109" t="s">
        <v>164</v>
      </c>
    </row>
    <row r="293" spans="1:7" ht="19.899999999999999" hidden="1">
      <c r="A293" s="104" t="s">
        <v>50</v>
      </c>
      <c r="B293" s="105" t="s">
        <v>504</v>
      </c>
      <c r="C293" s="37" t="s">
        <v>513</v>
      </c>
      <c r="D293" s="106">
        <v>2018</v>
      </c>
      <c r="E293" s="107" t="s">
        <v>113</v>
      </c>
      <c r="F293" s="112">
        <v>0.28399999999999997</v>
      </c>
      <c r="G293" s="109" t="s">
        <v>164</v>
      </c>
    </row>
    <row r="294" spans="1:7" ht="19.899999999999999" hidden="1">
      <c r="A294" s="104" t="s">
        <v>50</v>
      </c>
      <c r="B294" s="105" t="s">
        <v>504</v>
      </c>
      <c r="C294" s="37" t="s">
        <v>514</v>
      </c>
      <c r="D294" s="106" t="s">
        <v>468</v>
      </c>
      <c r="E294" s="107" t="s">
        <v>113</v>
      </c>
      <c r="F294" s="112">
        <v>0.255</v>
      </c>
      <c r="G294" s="109" t="s">
        <v>164</v>
      </c>
    </row>
    <row r="295" spans="1:7" ht="19.899999999999999" hidden="1">
      <c r="A295" s="104" t="s">
        <v>50</v>
      </c>
      <c r="B295" s="105" t="s">
        <v>504</v>
      </c>
      <c r="C295" s="37" t="s">
        <v>515</v>
      </c>
      <c r="D295" s="106">
        <v>2025</v>
      </c>
      <c r="E295" s="107" t="s">
        <v>113</v>
      </c>
      <c r="F295" s="112">
        <v>0.249</v>
      </c>
      <c r="G295" s="109" t="s">
        <v>164</v>
      </c>
    </row>
    <row r="296" spans="1:7" ht="19.899999999999999" hidden="1">
      <c r="A296" s="104" t="s">
        <v>50</v>
      </c>
      <c r="B296" s="105" t="s">
        <v>504</v>
      </c>
      <c r="C296" s="37" t="s">
        <v>516</v>
      </c>
      <c r="D296" s="106">
        <v>2024</v>
      </c>
      <c r="E296" s="107" t="s">
        <v>113</v>
      </c>
      <c r="F296" s="112">
        <v>0.25600000000000001</v>
      </c>
      <c r="G296" s="109" t="s">
        <v>164</v>
      </c>
    </row>
    <row r="297" spans="1:7" ht="19.899999999999999" hidden="1">
      <c r="A297" s="104" t="s">
        <v>50</v>
      </c>
      <c r="B297" s="105" t="s">
        <v>504</v>
      </c>
      <c r="C297" s="37" t="s">
        <v>517</v>
      </c>
      <c r="D297" s="106">
        <v>2023</v>
      </c>
      <c r="E297" s="107" t="s">
        <v>113</v>
      </c>
      <c r="F297" s="112">
        <v>0.26100000000000001</v>
      </c>
      <c r="G297" s="109" t="s">
        <v>164</v>
      </c>
    </row>
    <row r="298" spans="1:7" ht="19.899999999999999" hidden="1">
      <c r="A298" s="104" t="s">
        <v>50</v>
      </c>
      <c r="B298" s="105" t="s">
        <v>504</v>
      </c>
      <c r="C298" s="37" t="s">
        <v>518</v>
      </c>
      <c r="D298" s="106">
        <v>2022</v>
      </c>
      <c r="E298" s="107" t="s">
        <v>113</v>
      </c>
      <c r="F298" s="112">
        <v>0.26400000000000001</v>
      </c>
      <c r="G298" s="109" t="s">
        <v>164</v>
      </c>
    </row>
    <row r="299" spans="1:7" ht="19.899999999999999" hidden="1">
      <c r="A299" s="104" t="s">
        <v>50</v>
      </c>
      <c r="B299" s="105" t="s">
        <v>504</v>
      </c>
      <c r="C299" s="37" t="s">
        <v>519</v>
      </c>
      <c r="D299" s="106">
        <v>2021</v>
      </c>
      <c r="E299" s="107" t="s">
        <v>113</v>
      </c>
      <c r="F299" s="112">
        <v>0.26600000000000001</v>
      </c>
      <c r="G299" s="109" t="s">
        <v>164</v>
      </c>
    </row>
    <row r="300" spans="1:7" ht="19.899999999999999" hidden="1">
      <c r="A300" s="104" t="s">
        <v>50</v>
      </c>
      <c r="B300" s="105" t="s">
        <v>504</v>
      </c>
      <c r="C300" s="37" t="s">
        <v>520</v>
      </c>
      <c r="D300" s="106">
        <v>2020</v>
      </c>
      <c r="E300" s="107" t="s">
        <v>113</v>
      </c>
      <c r="F300" s="112">
        <v>0.251</v>
      </c>
      <c r="G300" s="109" t="s">
        <v>164</v>
      </c>
    </row>
    <row r="301" spans="1:7" ht="19.899999999999999" hidden="1">
      <c r="A301" s="104" t="s">
        <v>50</v>
      </c>
      <c r="B301" s="105" t="s">
        <v>504</v>
      </c>
      <c r="C301" s="37" t="s">
        <v>521</v>
      </c>
      <c r="D301" s="106">
        <v>2019</v>
      </c>
      <c r="E301" s="107" t="s">
        <v>113</v>
      </c>
      <c r="F301" s="112">
        <v>0.27400000000000002</v>
      </c>
      <c r="G301" s="109" t="s">
        <v>164</v>
      </c>
    </row>
    <row r="302" spans="1:7" ht="19.899999999999999" hidden="1">
      <c r="A302" s="104" t="s">
        <v>50</v>
      </c>
      <c r="B302" s="105" t="s">
        <v>504</v>
      </c>
      <c r="C302" s="37" t="s">
        <v>522</v>
      </c>
      <c r="D302" s="106">
        <v>2018</v>
      </c>
      <c r="E302" s="107" t="s">
        <v>113</v>
      </c>
      <c r="F302" s="112">
        <v>0.27100000000000002</v>
      </c>
      <c r="G302" s="109" t="s">
        <v>164</v>
      </c>
    </row>
    <row r="303" spans="1:7" ht="19.899999999999999" hidden="1">
      <c r="A303" s="104" t="s">
        <v>50</v>
      </c>
      <c r="B303" s="105" t="s">
        <v>504</v>
      </c>
      <c r="C303" s="37" t="s">
        <v>523</v>
      </c>
      <c r="D303" s="106" t="s">
        <v>468</v>
      </c>
      <c r="E303" s="107" t="s">
        <v>113</v>
      </c>
      <c r="F303" s="112">
        <v>0.28899999999999998</v>
      </c>
      <c r="G303" s="109" t="s">
        <v>164</v>
      </c>
    </row>
    <row r="304" spans="1:7" ht="19.899999999999999" hidden="1">
      <c r="A304" s="104" t="s">
        <v>50</v>
      </c>
      <c r="B304" s="105" t="s">
        <v>504</v>
      </c>
      <c r="C304" s="37" t="s">
        <v>524</v>
      </c>
      <c r="D304" s="106">
        <v>2025</v>
      </c>
      <c r="E304" s="107" t="s">
        <v>113</v>
      </c>
      <c r="F304" s="112">
        <v>0.27800000000000002</v>
      </c>
      <c r="G304" s="109" t="s">
        <v>164</v>
      </c>
    </row>
    <row r="305" spans="1:7" ht="19.899999999999999" hidden="1">
      <c r="A305" s="104" t="s">
        <v>50</v>
      </c>
      <c r="B305" s="105" t="s">
        <v>504</v>
      </c>
      <c r="C305" s="37" t="s">
        <v>525</v>
      </c>
      <c r="D305" s="106">
        <v>2024</v>
      </c>
      <c r="E305" s="107" t="s">
        <v>113</v>
      </c>
      <c r="F305" s="112">
        <v>0.28699999999999998</v>
      </c>
      <c r="G305" s="109" t="s">
        <v>164</v>
      </c>
    </row>
    <row r="306" spans="1:7" ht="19.899999999999999" hidden="1">
      <c r="A306" s="104" t="s">
        <v>50</v>
      </c>
      <c r="B306" s="105" t="s">
        <v>504</v>
      </c>
      <c r="C306" s="37" t="s">
        <v>526</v>
      </c>
      <c r="D306" s="106">
        <v>2023</v>
      </c>
      <c r="E306" s="107" t="s">
        <v>113</v>
      </c>
      <c r="F306" s="112">
        <v>0.28699999999999998</v>
      </c>
      <c r="G306" s="109" t="s">
        <v>164</v>
      </c>
    </row>
    <row r="307" spans="1:7" ht="19.899999999999999" hidden="1">
      <c r="A307" s="104" t="s">
        <v>50</v>
      </c>
      <c r="B307" s="105" t="s">
        <v>504</v>
      </c>
      <c r="C307" s="37" t="s">
        <v>527</v>
      </c>
      <c r="D307" s="106">
        <v>2022</v>
      </c>
      <c r="E307" s="107" t="s">
        <v>113</v>
      </c>
      <c r="F307" s="112">
        <v>0.28299999999999997</v>
      </c>
      <c r="G307" s="109" t="s">
        <v>164</v>
      </c>
    </row>
    <row r="308" spans="1:7" ht="19.899999999999999" hidden="1">
      <c r="A308" s="104" t="s">
        <v>50</v>
      </c>
      <c r="B308" s="105" t="s">
        <v>504</v>
      </c>
      <c r="C308" s="37" t="s">
        <v>528</v>
      </c>
      <c r="D308" s="106">
        <v>2021</v>
      </c>
      <c r="E308" s="107" t="s">
        <v>113</v>
      </c>
      <c r="F308" s="112">
        <v>0.28100000000000003</v>
      </c>
      <c r="G308" s="109" t="s">
        <v>164</v>
      </c>
    </row>
    <row r="309" spans="1:7" ht="19.899999999999999" hidden="1">
      <c r="A309" s="104" t="s">
        <v>50</v>
      </c>
      <c r="B309" s="105" t="s">
        <v>504</v>
      </c>
      <c r="C309" s="37" t="s">
        <v>529</v>
      </c>
      <c r="D309" s="106">
        <v>2020</v>
      </c>
      <c r="E309" s="107" t="s">
        <v>113</v>
      </c>
      <c r="F309" s="112">
        <v>0.26500000000000001</v>
      </c>
      <c r="G309" s="109" t="s">
        <v>164</v>
      </c>
    </row>
    <row r="310" spans="1:7" ht="19.899999999999999" hidden="1">
      <c r="A310" s="104" t="s">
        <v>50</v>
      </c>
      <c r="B310" s="105" t="s">
        <v>504</v>
      </c>
      <c r="C310" s="37" t="s">
        <v>530</v>
      </c>
      <c r="D310" s="106">
        <v>2019</v>
      </c>
      <c r="E310" s="107" t="s">
        <v>113</v>
      </c>
      <c r="F310" s="112">
        <v>0.29699999999999999</v>
      </c>
      <c r="G310" s="109" t="s">
        <v>164</v>
      </c>
    </row>
    <row r="311" spans="1:7" ht="19.899999999999999" hidden="1">
      <c r="A311" s="104" t="s">
        <v>50</v>
      </c>
      <c r="B311" s="105" t="s">
        <v>504</v>
      </c>
      <c r="C311" s="37" t="s">
        <v>531</v>
      </c>
      <c r="D311" s="106">
        <v>2018</v>
      </c>
      <c r="E311" s="107" t="s">
        <v>113</v>
      </c>
      <c r="F311" s="112">
        <v>0.30199999999999999</v>
      </c>
      <c r="G311" s="109" t="s">
        <v>164</v>
      </c>
    </row>
    <row r="312" spans="1:7" ht="39.6" hidden="1">
      <c r="A312" s="104" t="s">
        <v>50</v>
      </c>
      <c r="B312" s="105" t="s">
        <v>532</v>
      </c>
      <c r="C312" s="37" t="s">
        <v>533</v>
      </c>
      <c r="D312" s="106">
        <v>2025</v>
      </c>
      <c r="E312" s="107" t="s">
        <v>113</v>
      </c>
      <c r="F312" s="112">
        <v>5.8000000000000003E-2</v>
      </c>
      <c r="G312" s="109" t="s">
        <v>534</v>
      </c>
    </row>
    <row r="313" spans="1:7" ht="39.6" hidden="1">
      <c r="A313" s="104" t="s">
        <v>50</v>
      </c>
      <c r="B313" s="105" t="s">
        <v>532</v>
      </c>
      <c r="C313" s="37" t="s">
        <v>535</v>
      </c>
      <c r="D313" s="106">
        <v>2025</v>
      </c>
      <c r="E313" s="107" t="s">
        <v>113</v>
      </c>
      <c r="F313" s="112">
        <v>3.2000000000000001E-2</v>
      </c>
      <c r="G313" s="109" t="s">
        <v>534</v>
      </c>
    </row>
    <row r="314" spans="1:7" ht="39.6" hidden="1">
      <c r="A314" s="104" t="s">
        <v>50</v>
      </c>
      <c r="B314" s="105" t="s">
        <v>532</v>
      </c>
      <c r="C314" s="37" t="s">
        <v>536</v>
      </c>
      <c r="D314" s="106">
        <v>2025</v>
      </c>
      <c r="E314" s="107" t="s">
        <v>113</v>
      </c>
      <c r="F314" s="112">
        <v>9.6000000000000002E-2</v>
      </c>
      <c r="G314" s="109" t="s">
        <v>534</v>
      </c>
    </row>
    <row r="315" spans="1:7" ht="39.6" hidden="1">
      <c r="A315" s="104" t="s">
        <v>50</v>
      </c>
      <c r="B315" s="105" t="s">
        <v>532</v>
      </c>
      <c r="C315" s="37" t="s">
        <v>537</v>
      </c>
      <c r="D315" s="106">
        <v>2025</v>
      </c>
      <c r="E315" s="107" t="s">
        <v>113</v>
      </c>
      <c r="F315" s="112">
        <v>5.0000000000000001E-3</v>
      </c>
      <c r="G315" s="109" t="s">
        <v>534</v>
      </c>
    </row>
    <row r="316" spans="1:7" ht="19.899999999999999" hidden="1">
      <c r="A316" s="104" t="s">
        <v>50</v>
      </c>
      <c r="B316" s="105" t="s">
        <v>532</v>
      </c>
      <c r="C316" s="37" t="s">
        <v>538</v>
      </c>
      <c r="D316" s="106">
        <v>2025</v>
      </c>
      <c r="E316" s="107" t="s">
        <v>113</v>
      </c>
      <c r="F316" s="112">
        <v>8.0000000000000002E-3</v>
      </c>
      <c r="G316" s="109" t="s">
        <v>534</v>
      </c>
    </row>
    <row r="317" spans="1:7" ht="19.899999999999999" hidden="1">
      <c r="A317" s="104" t="s">
        <v>50</v>
      </c>
      <c r="B317" s="105" t="s">
        <v>532</v>
      </c>
      <c r="C317" s="37" t="s">
        <v>539</v>
      </c>
      <c r="D317" s="106">
        <v>2025</v>
      </c>
      <c r="E317" s="107" t="s">
        <v>113</v>
      </c>
      <c r="F317" s="112">
        <v>7.6999999999999999E-2</v>
      </c>
      <c r="G317" s="109" t="s">
        <v>534</v>
      </c>
    </row>
    <row r="318" spans="1:7" ht="39.6" hidden="1">
      <c r="A318" s="104" t="s">
        <v>50</v>
      </c>
      <c r="B318" s="105" t="s">
        <v>532</v>
      </c>
      <c r="C318" s="37" t="s">
        <v>540</v>
      </c>
      <c r="D318" s="106">
        <v>2025</v>
      </c>
      <c r="E318" s="107" t="s">
        <v>113</v>
      </c>
      <c r="F318" s="112">
        <v>0.186</v>
      </c>
      <c r="G318" s="109" t="s">
        <v>534</v>
      </c>
    </row>
    <row r="319" spans="1:7" ht="39.6" hidden="1">
      <c r="A319" s="104" t="s">
        <v>50</v>
      </c>
      <c r="B319" s="105" t="s">
        <v>532</v>
      </c>
      <c r="C319" s="37" t="s">
        <v>541</v>
      </c>
      <c r="D319" s="106">
        <v>2025</v>
      </c>
      <c r="E319" s="107" t="s">
        <v>113</v>
      </c>
      <c r="F319" s="112">
        <v>6.4000000000000001E-2</v>
      </c>
      <c r="G319" s="109" t="s">
        <v>534</v>
      </c>
    </row>
    <row r="320" spans="1:7" ht="39.6" hidden="1">
      <c r="A320" s="104" t="s">
        <v>50</v>
      </c>
      <c r="B320" s="105" t="s">
        <v>532</v>
      </c>
      <c r="C320" s="37" t="s">
        <v>542</v>
      </c>
      <c r="D320" s="106">
        <v>2025</v>
      </c>
      <c r="E320" s="107" t="s">
        <v>113</v>
      </c>
      <c r="F320" s="112">
        <v>4.8000000000000001E-2</v>
      </c>
      <c r="G320" s="109" t="s">
        <v>534</v>
      </c>
    </row>
    <row r="321" spans="1:7" ht="39.6" hidden="1">
      <c r="A321" s="104" t="s">
        <v>50</v>
      </c>
      <c r="B321" s="105" t="s">
        <v>532</v>
      </c>
      <c r="C321" s="37" t="s">
        <v>543</v>
      </c>
      <c r="D321" s="106">
        <v>2025</v>
      </c>
      <c r="E321" s="107" t="s">
        <v>113</v>
      </c>
      <c r="F321" s="112">
        <v>2.4E-2</v>
      </c>
      <c r="G321" s="109" t="s">
        <v>534</v>
      </c>
    </row>
    <row r="322" spans="1:7" ht="39.6" hidden="1">
      <c r="A322" s="104" t="s">
        <v>50</v>
      </c>
      <c r="B322" s="105" t="s">
        <v>532</v>
      </c>
      <c r="C322" s="37" t="s">
        <v>544</v>
      </c>
      <c r="D322" s="106">
        <v>2025</v>
      </c>
      <c r="E322" s="107" t="s">
        <v>113</v>
      </c>
      <c r="F322" s="112">
        <v>2.1999999999999999E-2</v>
      </c>
      <c r="G322" s="109" t="s">
        <v>534</v>
      </c>
    </row>
    <row r="323" spans="1:7" ht="39.6" hidden="1">
      <c r="A323" s="104" t="s">
        <v>50</v>
      </c>
      <c r="B323" s="105" t="s">
        <v>532</v>
      </c>
      <c r="C323" s="37" t="s">
        <v>545</v>
      </c>
      <c r="D323" s="106">
        <v>2025</v>
      </c>
      <c r="E323" s="107" t="s">
        <v>113</v>
      </c>
      <c r="F323" s="112">
        <v>0.01</v>
      </c>
      <c r="G323" s="109" t="s">
        <v>534</v>
      </c>
    </row>
    <row r="324" spans="1:7" ht="39.6" hidden="1">
      <c r="A324" s="104" t="s">
        <v>50</v>
      </c>
      <c r="B324" s="105" t="s">
        <v>532</v>
      </c>
      <c r="C324" s="37" t="s">
        <v>546</v>
      </c>
      <c r="D324" s="106">
        <v>2025</v>
      </c>
      <c r="E324" s="107" t="s">
        <v>113</v>
      </c>
      <c r="F324" s="112">
        <v>3.7999999999999999E-2</v>
      </c>
      <c r="G324" s="109" t="s">
        <v>534</v>
      </c>
    </row>
    <row r="325" spans="1:7" ht="39.6" hidden="1">
      <c r="A325" s="104" t="s">
        <v>50</v>
      </c>
      <c r="B325" s="105" t="s">
        <v>532</v>
      </c>
      <c r="C325" s="37" t="s">
        <v>547</v>
      </c>
      <c r="D325" s="106">
        <v>2025</v>
      </c>
      <c r="E325" s="107" t="s">
        <v>113</v>
      </c>
      <c r="F325" s="112">
        <v>3.4000000000000002E-2</v>
      </c>
      <c r="G325" s="109" t="s">
        <v>534</v>
      </c>
    </row>
    <row r="326" spans="1:7" ht="39.6" hidden="1">
      <c r="A326" s="104" t="s">
        <v>50</v>
      </c>
      <c r="B326" s="105" t="s">
        <v>532</v>
      </c>
      <c r="C326" s="37" t="s">
        <v>548</v>
      </c>
      <c r="D326" s="106">
        <v>2025</v>
      </c>
      <c r="E326" s="107" t="s">
        <v>113</v>
      </c>
      <c r="F326" s="112">
        <v>5.7000000000000002E-2</v>
      </c>
      <c r="G326" s="109" t="s">
        <v>534</v>
      </c>
    </row>
    <row r="327" spans="1:7" ht="19.899999999999999" hidden="1">
      <c r="A327" s="104" t="s">
        <v>50</v>
      </c>
      <c r="B327" s="105" t="s">
        <v>532</v>
      </c>
      <c r="C327" s="37" t="s">
        <v>549</v>
      </c>
      <c r="D327" s="106">
        <v>2025</v>
      </c>
      <c r="E327" s="107" t="s">
        <v>113</v>
      </c>
      <c r="F327" s="112">
        <v>8.5000000000000006E-2</v>
      </c>
      <c r="G327" s="109" t="s">
        <v>534</v>
      </c>
    </row>
    <row r="328" spans="1:7" ht="39.6" hidden="1">
      <c r="A328" s="104" t="s">
        <v>50</v>
      </c>
      <c r="B328" s="105" t="s">
        <v>532</v>
      </c>
      <c r="C328" s="37" t="s">
        <v>550</v>
      </c>
      <c r="D328" s="106">
        <v>2025</v>
      </c>
      <c r="E328" s="107" t="s">
        <v>113</v>
      </c>
      <c r="F328" s="112">
        <v>7.6999999999999999E-2</v>
      </c>
      <c r="G328" s="109" t="s">
        <v>534</v>
      </c>
    </row>
    <row r="329" spans="1:7" ht="39.6" hidden="1">
      <c r="A329" s="104" t="s">
        <v>50</v>
      </c>
      <c r="B329" s="105" t="s">
        <v>532</v>
      </c>
      <c r="C329" s="37" t="s">
        <v>551</v>
      </c>
      <c r="D329" s="106">
        <v>2025</v>
      </c>
      <c r="E329" s="107" t="s">
        <v>113</v>
      </c>
      <c r="F329" s="112">
        <v>1.2E-2</v>
      </c>
      <c r="G329" s="109" t="s">
        <v>534</v>
      </c>
    </row>
    <row r="330" spans="1:7" ht="39.6" hidden="1">
      <c r="A330" s="104" t="s">
        <v>50</v>
      </c>
      <c r="B330" s="105" t="s">
        <v>532</v>
      </c>
      <c r="C330" s="37" t="s">
        <v>552</v>
      </c>
      <c r="D330" s="106">
        <v>2025</v>
      </c>
      <c r="E330" s="107" t="s">
        <v>113</v>
      </c>
      <c r="F330" s="112">
        <v>3.5000000000000003E-2</v>
      </c>
      <c r="G330" s="109" t="s">
        <v>534</v>
      </c>
    </row>
    <row r="331" spans="1:7" ht="39.6" hidden="1">
      <c r="A331" s="104" t="s">
        <v>50</v>
      </c>
      <c r="B331" s="105" t="s">
        <v>532</v>
      </c>
      <c r="C331" s="37" t="s">
        <v>553</v>
      </c>
      <c r="D331" s="106">
        <v>2025</v>
      </c>
      <c r="E331" s="107" t="s">
        <v>113</v>
      </c>
      <c r="F331" s="112">
        <v>2.8000000000000001E-2</v>
      </c>
      <c r="G331" s="109" t="s">
        <v>534</v>
      </c>
    </row>
    <row r="332" spans="1:7" ht="39.6" hidden="1">
      <c r="A332" s="104" t="s">
        <v>50</v>
      </c>
      <c r="B332" s="105" t="s">
        <v>532</v>
      </c>
      <c r="C332" s="37" t="s">
        <v>554</v>
      </c>
      <c r="D332" s="106">
        <v>2025</v>
      </c>
      <c r="E332" s="107" t="s">
        <v>113</v>
      </c>
      <c r="F332" s="110">
        <v>0</v>
      </c>
      <c r="G332" s="109" t="s">
        <v>534</v>
      </c>
    </row>
    <row r="333" spans="1:7" ht="39.6" hidden="1">
      <c r="A333" s="104" t="s">
        <v>50</v>
      </c>
      <c r="B333" s="105" t="s">
        <v>532</v>
      </c>
      <c r="C333" s="37" t="s">
        <v>555</v>
      </c>
      <c r="D333" s="106">
        <v>2025</v>
      </c>
      <c r="E333" s="107" t="s">
        <v>113</v>
      </c>
      <c r="F333" s="110">
        <v>3.0000000000000001E-3</v>
      </c>
      <c r="G333" s="109" t="s">
        <v>534</v>
      </c>
    </row>
    <row r="334" spans="1:7" ht="19.899999999999999" hidden="1">
      <c r="A334" s="104" t="s">
        <v>52</v>
      </c>
      <c r="B334" s="105" t="s">
        <v>556</v>
      </c>
      <c r="C334" s="37" t="s">
        <v>557</v>
      </c>
      <c r="D334" s="106" t="s">
        <v>558</v>
      </c>
      <c r="E334" s="107" t="s">
        <v>559</v>
      </c>
      <c r="F334" s="110">
        <v>6272</v>
      </c>
      <c r="G334" s="109" t="s">
        <v>560</v>
      </c>
    </row>
    <row r="335" spans="1:7" ht="19.899999999999999" hidden="1">
      <c r="A335" s="104" t="s">
        <v>52</v>
      </c>
      <c r="B335" s="105" t="s">
        <v>556</v>
      </c>
      <c r="C335" s="37" t="s">
        <v>561</v>
      </c>
      <c r="D335" s="106" t="s">
        <v>562</v>
      </c>
      <c r="E335" s="107" t="s">
        <v>559</v>
      </c>
      <c r="F335" s="110">
        <v>5958</v>
      </c>
      <c r="G335" s="109" t="s">
        <v>560</v>
      </c>
    </row>
    <row r="336" spans="1:7" ht="19.899999999999999" hidden="1">
      <c r="A336" s="104" t="s">
        <v>52</v>
      </c>
      <c r="B336" s="105" t="s">
        <v>556</v>
      </c>
      <c r="C336" s="37" t="s">
        <v>563</v>
      </c>
      <c r="D336" s="106" t="s">
        <v>564</v>
      </c>
      <c r="E336" s="107" t="s">
        <v>559</v>
      </c>
      <c r="F336" s="110">
        <v>6982</v>
      </c>
      <c r="G336" s="109" t="s">
        <v>560</v>
      </c>
    </row>
    <row r="337" spans="1:7" ht="19.899999999999999" hidden="1">
      <c r="A337" s="104" t="s">
        <v>52</v>
      </c>
      <c r="B337" s="105" t="s">
        <v>556</v>
      </c>
      <c r="C337" s="37" t="s">
        <v>565</v>
      </c>
      <c r="D337" s="106" t="s">
        <v>566</v>
      </c>
      <c r="E337" s="107" t="s">
        <v>559</v>
      </c>
      <c r="F337" s="110">
        <v>6947</v>
      </c>
      <c r="G337" s="109" t="s">
        <v>560</v>
      </c>
    </row>
    <row r="338" spans="1:7" ht="19.899999999999999" hidden="1">
      <c r="A338" s="104" t="s">
        <v>52</v>
      </c>
      <c r="B338" s="105" t="s">
        <v>556</v>
      </c>
      <c r="C338" s="37" t="s">
        <v>567</v>
      </c>
      <c r="D338" s="106" t="s">
        <v>568</v>
      </c>
      <c r="E338" s="107" t="s">
        <v>559</v>
      </c>
      <c r="F338" s="110">
        <v>7101</v>
      </c>
      <c r="G338" s="109" t="s">
        <v>560</v>
      </c>
    </row>
    <row r="339" spans="1:7" ht="39.6" hidden="1">
      <c r="A339" s="104" t="s">
        <v>52</v>
      </c>
      <c r="B339" s="105" t="s">
        <v>556</v>
      </c>
      <c r="C339" s="37" t="s">
        <v>569</v>
      </c>
      <c r="D339" s="106" t="s">
        <v>558</v>
      </c>
      <c r="E339" s="107" t="s">
        <v>570</v>
      </c>
      <c r="F339" s="110">
        <v>65156.62</v>
      </c>
      <c r="G339" s="109" t="s">
        <v>571</v>
      </c>
    </row>
    <row r="340" spans="1:7" ht="39.6" hidden="1">
      <c r="A340" s="104" t="s">
        <v>52</v>
      </c>
      <c r="B340" s="105" t="s">
        <v>556</v>
      </c>
      <c r="C340" s="37" t="s">
        <v>572</v>
      </c>
      <c r="D340" s="106" t="s">
        <v>562</v>
      </c>
      <c r="E340" s="107" t="s">
        <v>570</v>
      </c>
      <c r="F340" s="110">
        <v>61274.83</v>
      </c>
      <c r="G340" s="109" t="s">
        <v>571</v>
      </c>
    </row>
    <row r="341" spans="1:7" ht="39.6" hidden="1">
      <c r="A341" s="104" t="s">
        <v>52</v>
      </c>
      <c r="B341" s="105" t="s">
        <v>556</v>
      </c>
      <c r="C341" s="37" t="s">
        <v>573</v>
      </c>
      <c r="D341" s="106" t="s">
        <v>564</v>
      </c>
      <c r="E341" s="107" t="s">
        <v>570</v>
      </c>
      <c r="F341" s="110">
        <v>381915.9</v>
      </c>
      <c r="G341" s="109" t="s">
        <v>571</v>
      </c>
    </row>
    <row r="342" spans="1:7" ht="39.6" hidden="1">
      <c r="A342" s="104" t="s">
        <v>52</v>
      </c>
      <c r="B342" s="105" t="s">
        <v>556</v>
      </c>
      <c r="C342" s="37" t="s">
        <v>574</v>
      </c>
      <c r="D342" s="106" t="s">
        <v>566</v>
      </c>
      <c r="E342" s="107" t="s">
        <v>570</v>
      </c>
      <c r="F342" s="108">
        <v>104945.89</v>
      </c>
      <c r="G342" s="109" t="s">
        <v>571</v>
      </c>
    </row>
    <row r="343" spans="1:7" ht="39.6" hidden="1">
      <c r="A343" s="104" t="s">
        <v>52</v>
      </c>
      <c r="B343" s="105" t="s">
        <v>556</v>
      </c>
      <c r="C343" s="37" t="s">
        <v>575</v>
      </c>
      <c r="D343" s="106" t="s">
        <v>568</v>
      </c>
      <c r="E343" s="107" t="s">
        <v>570</v>
      </c>
      <c r="F343" s="108">
        <v>31145.599999999999</v>
      </c>
      <c r="G343" s="109" t="s">
        <v>571</v>
      </c>
    </row>
    <row r="344" spans="1:7" ht="19.899999999999999" hidden="1">
      <c r="A344" s="104" t="s">
        <v>52</v>
      </c>
      <c r="B344" s="105" t="s">
        <v>576</v>
      </c>
      <c r="C344" s="37" t="s">
        <v>577</v>
      </c>
      <c r="D344" s="106">
        <v>2024</v>
      </c>
      <c r="E344" s="107" t="s">
        <v>578</v>
      </c>
      <c r="F344" s="108"/>
      <c r="G344" s="109" t="s">
        <v>579</v>
      </c>
    </row>
    <row r="345" spans="1:7" ht="19.899999999999999" hidden="1">
      <c r="A345" s="104" t="s">
        <v>52</v>
      </c>
      <c r="B345" s="105" t="s">
        <v>576</v>
      </c>
      <c r="C345" s="37" t="s">
        <v>580</v>
      </c>
      <c r="D345" s="106">
        <v>2023</v>
      </c>
      <c r="E345" s="107" t="s">
        <v>578</v>
      </c>
      <c r="F345" s="108"/>
      <c r="G345" s="109" t="s">
        <v>579</v>
      </c>
    </row>
    <row r="346" spans="1:7" ht="19.899999999999999" hidden="1">
      <c r="A346" s="104" t="s">
        <v>52</v>
      </c>
      <c r="B346" s="105" t="s">
        <v>576</v>
      </c>
      <c r="C346" s="37" t="s">
        <v>581</v>
      </c>
      <c r="D346" s="106">
        <v>2022</v>
      </c>
      <c r="E346" s="107" t="s">
        <v>578</v>
      </c>
      <c r="F346" s="108"/>
      <c r="G346" s="109" t="s">
        <v>579</v>
      </c>
    </row>
    <row r="347" spans="1:7" ht="19.899999999999999" hidden="1">
      <c r="A347" s="104" t="s">
        <v>52</v>
      </c>
      <c r="B347" s="105" t="s">
        <v>576</v>
      </c>
      <c r="C347" s="37" t="s">
        <v>582</v>
      </c>
      <c r="D347" s="106">
        <v>2021</v>
      </c>
      <c r="E347" s="107" t="s">
        <v>578</v>
      </c>
      <c r="F347" s="108"/>
      <c r="G347" s="109" t="s">
        <v>579</v>
      </c>
    </row>
    <row r="348" spans="1:7" ht="19.899999999999999" hidden="1">
      <c r="A348" s="104" t="s">
        <v>52</v>
      </c>
      <c r="B348" s="105" t="s">
        <v>576</v>
      </c>
      <c r="C348" s="37" t="s">
        <v>583</v>
      </c>
      <c r="D348" s="106">
        <v>2020</v>
      </c>
      <c r="E348" s="107" t="s">
        <v>578</v>
      </c>
      <c r="F348" s="108"/>
      <c r="G348" s="109" t="s">
        <v>579</v>
      </c>
    </row>
    <row r="349" spans="1:7" ht="19.899999999999999" hidden="1">
      <c r="A349" s="104" t="s">
        <v>52</v>
      </c>
      <c r="B349" s="105" t="s">
        <v>576</v>
      </c>
      <c r="C349" s="37" t="s">
        <v>584</v>
      </c>
      <c r="D349" s="106">
        <v>2024</v>
      </c>
      <c r="E349" s="107" t="s">
        <v>578</v>
      </c>
      <c r="F349" s="108"/>
      <c r="G349" s="109" t="s">
        <v>585</v>
      </c>
    </row>
    <row r="350" spans="1:7" ht="19.899999999999999" hidden="1">
      <c r="A350" s="104" t="s">
        <v>52</v>
      </c>
      <c r="B350" s="105" t="s">
        <v>576</v>
      </c>
      <c r="C350" s="37" t="s">
        <v>586</v>
      </c>
      <c r="D350" s="106">
        <v>2023</v>
      </c>
      <c r="E350" s="107" t="s">
        <v>578</v>
      </c>
      <c r="F350" s="108"/>
      <c r="G350" s="109" t="s">
        <v>585</v>
      </c>
    </row>
    <row r="351" spans="1:7" ht="19.899999999999999" hidden="1">
      <c r="A351" s="104" t="s">
        <v>52</v>
      </c>
      <c r="B351" s="105" t="s">
        <v>576</v>
      </c>
      <c r="C351" s="37" t="s">
        <v>587</v>
      </c>
      <c r="D351" s="106">
        <v>2022</v>
      </c>
      <c r="E351" s="107" t="s">
        <v>578</v>
      </c>
      <c r="F351" s="108"/>
      <c r="G351" s="109" t="s">
        <v>585</v>
      </c>
    </row>
    <row r="352" spans="1:7" ht="19.899999999999999" hidden="1">
      <c r="A352" s="104" t="s">
        <v>52</v>
      </c>
      <c r="B352" s="105" t="s">
        <v>576</v>
      </c>
      <c r="C352" s="37" t="s">
        <v>588</v>
      </c>
      <c r="D352" s="106">
        <v>2021</v>
      </c>
      <c r="E352" s="107" t="s">
        <v>578</v>
      </c>
      <c r="F352" s="108"/>
      <c r="G352" s="109" t="s">
        <v>585</v>
      </c>
    </row>
    <row r="353" spans="1:7" ht="19.899999999999999" hidden="1">
      <c r="A353" s="104" t="s">
        <v>52</v>
      </c>
      <c r="B353" s="105" t="s">
        <v>576</v>
      </c>
      <c r="C353" s="37" t="s">
        <v>589</v>
      </c>
      <c r="D353" s="106">
        <v>2020</v>
      </c>
      <c r="E353" s="107" t="s">
        <v>578</v>
      </c>
      <c r="F353" s="108"/>
      <c r="G353" s="109" t="s">
        <v>585</v>
      </c>
    </row>
    <row r="354" spans="1:7" ht="19.899999999999999" hidden="1">
      <c r="A354" s="104" t="s">
        <v>52</v>
      </c>
      <c r="B354" s="105" t="s">
        <v>590</v>
      </c>
      <c r="C354" s="37" t="s">
        <v>591</v>
      </c>
      <c r="D354" s="106">
        <v>2024</v>
      </c>
      <c r="E354" s="107" t="s">
        <v>592</v>
      </c>
      <c r="F354" s="108"/>
      <c r="G354" s="109" t="s">
        <v>585</v>
      </c>
    </row>
    <row r="355" spans="1:7" ht="19.899999999999999" hidden="1">
      <c r="A355" s="104" t="s">
        <v>52</v>
      </c>
      <c r="B355" s="105" t="s">
        <v>590</v>
      </c>
      <c r="C355" s="37" t="s">
        <v>593</v>
      </c>
      <c r="D355" s="106">
        <v>2023</v>
      </c>
      <c r="E355" s="107" t="s">
        <v>592</v>
      </c>
      <c r="F355" s="108"/>
      <c r="G355" s="109" t="s">
        <v>585</v>
      </c>
    </row>
    <row r="356" spans="1:7" ht="19.899999999999999" hidden="1">
      <c r="A356" s="104" t="s">
        <v>52</v>
      </c>
      <c r="B356" s="105" t="s">
        <v>590</v>
      </c>
      <c r="C356" s="37" t="s">
        <v>594</v>
      </c>
      <c r="D356" s="106">
        <v>2022</v>
      </c>
      <c r="E356" s="107" t="s">
        <v>592</v>
      </c>
      <c r="F356" s="108"/>
      <c r="G356" s="109" t="s">
        <v>585</v>
      </c>
    </row>
    <row r="357" spans="1:7" ht="19.899999999999999" hidden="1">
      <c r="A357" s="104" t="s">
        <v>52</v>
      </c>
      <c r="B357" s="105" t="s">
        <v>590</v>
      </c>
      <c r="C357" s="37" t="s">
        <v>595</v>
      </c>
      <c r="D357" s="106">
        <v>2021</v>
      </c>
      <c r="E357" s="107" t="s">
        <v>592</v>
      </c>
      <c r="F357" s="108"/>
      <c r="G357" s="109" t="s">
        <v>585</v>
      </c>
    </row>
    <row r="358" spans="1:7" ht="19.899999999999999" hidden="1">
      <c r="A358" s="104" t="s">
        <v>52</v>
      </c>
      <c r="B358" s="105" t="s">
        <v>590</v>
      </c>
      <c r="C358" s="37" t="s">
        <v>596</v>
      </c>
      <c r="D358" s="106">
        <v>2020</v>
      </c>
      <c r="E358" s="107" t="s">
        <v>592</v>
      </c>
      <c r="F358" s="112"/>
      <c r="G358" s="109" t="s">
        <v>585</v>
      </c>
    </row>
    <row r="359" spans="1:7" ht="19.899999999999999" hidden="1">
      <c r="A359" s="104" t="s">
        <v>54</v>
      </c>
      <c r="B359" s="105" t="s">
        <v>58</v>
      </c>
      <c r="C359" s="37" t="s">
        <v>597</v>
      </c>
      <c r="D359" s="106">
        <v>2024</v>
      </c>
      <c r="E359" s="107" t="s">
        <v>598</v>
      </c>
      <c r="F359" s="112">
        <v>2.8</v>
      </c>
      <c r="G359" s="109" t="s">
        <v>141</v>
      </c>
    </row>
    <row r="360" spans="1:7" ht="19.899999999999999" hidden="1">
      <c r="A360" s="104" t="s">
        <v>54</v>
      </c>
      <c r="B360" s="105" t="s">
        <v>599</v>
      </c>
      <c r="C360" s="37" t="s">
        <v>600</v>
      </c>
      <c r="D360" s="106">
        <v>2024</v>
      </c>
      <c r="E360" s="107" t="s">
        <v>113</v>
      </c>
      <c r="F360" s="112">
        <v>1.0999999999999999E-2</v>
      </c>
      <c r="G360" s="109" t="s">
        <v>141</v>
      </c>
    </row>
    <row r="361" spans="1:7" ht="19.899999999999999" hidden="1">
      <c r="A361" s="104" t="s">
        <v>54</v>
      </c>
      <c r="B361" s="105" t="s">
        <v>599</v>
      </c>
      <c r="C361" s="37" t="s">
        <v>601</v>
      </c>
      <c r="D361" s="106">
        <v>2024</v>
      </c>
      <c r="E361" s="107" t="s">
        <v>113</v>
      </c>
      <c r="F361" s="108">
        <v>5.7000000000000002E-2</v>
      </c>
      <c r="G361" s="109" t="s">
        <v>141</v>
      </c>
    </row>
    <row r="362" spans="1:7" ht="19.899999999999999" hidden="1">
      <c r="A362" s="104" t="s">
        <v>54</v>
      </c>
      <c r="B362" s="105" t="s">
        <v>602</v>
      </c>
      <c r="C362" s="37" t="s">
        <v>603</v>
      </c>
      <c r="D362" s="106">
        <v>2024</v>
      </c>
      <c r="E362" s="107" t="s">
        <v>113</v>
      </c>
      <c r="F362" s="111">
        <v>0.61099999999999999</v>
      </c>
      <c r="G362" s="109" t="s">
        <v>141</v>
      </c>
    </row>
    <row r="363" spans="1:7" ht="19.899999999999999" hidden="1">
      <c r="A363" s="104" t="s">
        <v>56</v>
      </c>
      <c r="B363" s="105" t="s">
        <v>604</v>
      </c>
      <c r="C363" s="37" t="s">
        <v>605</v>
      </c>
      <c r="D363" s="106">
        <v>2024</v>
      </c>
      <c r="E363" s="107" t="s">
        <v>113</v>
      </c>
      <c r="F363" s="113"/>
      <c r="G363" s="109" t="s">
        <v>141</v>
      </c>
    </row>
    <row r="364" spans="1:7" ht="19.899999999999999" hidden="1">
      <c r="A364" s="104" t="s">
        <v>56</v>
      </c>
      <c r="B364" s="105" t="s">
        <v>604</v>
      </c>
      <c r="C364" s="37" t="s">
        <v>606</v>
      </c>
      <c r="D364" s="106">
        <v>2024</v>
      </c>
      <c r="E364" s="107" t="s">
        <v>113</v>
      </c>
      <c r="F364" s="112">
        <v>0.96699999999999997</v>
      </c>
      <c r="G364" s="109" t="s">
        <v>141</v>
      </c>
    </row>
    <row r="365" spans="1:7" ht="19.899999999999999" hidden="1">
      <c r="A365" s="104" t="s">
        <v>56</v>
      </c>
      <c r="B365" s="105" t="s">
        <v>607</v>
      </c>
      <c r="C365" s="37" t="s">
        <v>608</v>
      </c>
      <c r="D365" s="106">
        <v>2024</v>
      </c>
      <c r="E365" s="107" t="s">
        <v>113</v>
      </c>
      <c r="F365" s="111">
        <v>0.97</v>
      </c>
      <c r="G365" s="109" t="s">
        <v>141</v>
      </c>
    </row>
    <row r="366" spans="1:7" ht="19.899999999999999" hidden="1">
      <c r="A366" s="104" t="s">
        <v>56</v>
      </c>
      <c r="B366" s="105" t="s">
        <v>607</v>
      </c>
      <c r="C366" s="37" t="s">
        <v>609</v>
      </c>
      <c r="D366" s="106">
        <v>2024</v>
      </c>
      <c r="E366" s="107" t="s">
        <v>113</v>
      </c>
      <c r="F366" s="112">
        <v>2E-3</v>
      </c>
      <c r="G366" s="109" t="s">
        <v>141</v>
      </c>
    </row>
    <row r="367" spans="1:7" ht="19.899999999999999" hidden="1">
      <c r="A367" s="104" t="s">
        <v>56</v>
      </c>
      <c r="B367" s="105" t="s">
        <v>610</v>
      </c>
      <c r="C367" s="37" t="s">
        <v>611</v>
      </c>
      <c r="D367" s="106">
        <v>2024</v>
      </c>
      <c r="E367" s="107" t="s">
        <v>113</v>
      </c>
      <c r="F367" s="112">
        <v>0.93200000000000005</v>
      </c>
      <c r="G367" s="109" t="s">
        <v>141</v>
      </c>
    </row>
    <row r="368" spans="1:7" ht="19.899999999999999" hidden="1">
      <c r="A368" s="104" t="s">
        <v>58</v>
      </c>
      <c r="B368" s="105" t="s">
        <v>612</v>
      </c>
      <c r="C368" s="37" t="s">
        <v>613</v>
      </c>
      <c r="D368" s="106">
        <v>1992</v>
      </c>
      <c r="E368" s="107" t="s">
        <v>113</v>
      </c>
      <c r="F368" s="112">
        <v>0.62</v>
      </c>
      <c r="G368" s="109" t="s">
        <v>141</v>
      </c>
    </row>
    <row r="369" spans="1:7" ht="19.899999999999999" hidden="1">
      <c r="A369" s="104" t="s">
        <v>58</v>
      </c>
      <c r="B369" s="105" t="s">
        <v>612</v>
      </c>
      <c r="C369" s="37" t="s">
        <v>614</v>
      </c>
      <c r="D369" s="106">
        <v>2002</v>
      </c>
      <c r="E369" s="107" t="s">
        <v>113</v>
      </c>
      <c r="F369" s="112">
        <v>0.54300000000000004</v>
      </c>
      <c r="G369" s="109" t="s">
        <v>141</v>
      </c>
    </row>
    <row r="370" spans="1:7" ht="19.899999999999999" hidden="1">
      <c r="A370" s="104" t="s">
        <v>58</v>
      </c>
      <c r="B370" s="105" t="s">
        <v>612</v>
      </c>
      <c r="C370" s="37" t="s">
        <v>615</v>
      </c>
      <c r="D370" s="106">
        <v>2017</v>
      </c>
      <c r="E370" s="107" t="s">
        <v>113</v>
      </c>
      <c r="F370" s="112">
        <v>0.39900000000000002</v>
      </c>
      <c r="G370" s="109" t="s">
        <v>141</v>
      </c>
    </row>
    <row r="371" spans="1:7" ht="19.899999999999999" hidden="1">
      <c r="A371" s="104" t="s">
        <v>58</v>
      </c>
      <c r="B371" s="105" t="s">
        <v>612</v>
      </c>
      <c r="C371" s="37" t="s">
        <v>616</v>
      </c>
      <c r="D371" s="106">
        <v>2024</v>
      </c>
      <c r="E371" s="107" t="s">
        <v>113</v>
      </c>
      <c r="F371" s="112">
        <v>0.33200000000000002</v>
      </c>
      <c r="G371" s="109" t="s">
        <v>141</v>
      </c>
    </row>
    <row r="372" spans="1:7" ht="39.6" hidden="1">
      <c r="A372" s="104" t="s">
        <v>58</v>
      </c>
      <c r="B372" s="105" t="s">
        <v>617</v>
      </c>
      <c r="C372" s="37" t="s">
        <v>618</v>
      </c>
      <c r="D372" s="106">
        <v>1992</v>
      </c>
      <c r="E372" s="107" t="s">
        <v>113</v>
      </c>
      <c r="F372" s="112">
        <v>4.2999999999999997E-2</v>
      </c>
      <c r="G372" s="109" t="s">
        <v>141</v>
      </c>
    </row>
    <row r="373" spans="1:7" ht="39.6" hidden="1">
      <c r="A373" s="104" t="s">
        <v>58</v>
      </c>
      <c r="B373" s="105" t="s">
        <v>617</v>
      </c>
      <c r="C373" s="37" t="s">
        <v>619</v>
      </c>
      <c r="D373" s="106">
        <v>2002</v>
      </c>
      <c r="E373" s="107" t="s">
        <v>113</v>
      </c>
      <c r="F373" s="112">
        <v>0.06</v>
      </c>
      <c r="G373" s="109" t="s">
        <v>141</v>
      </c>
    </row>
    <row r="374" spans="1:7" ht="39.6" hidden="1">
      <c r="A374" s="104" t="s">
        <v>58</v>
      </c>
      <c r="B374" s="105" t="s">
        <v>617</v>
      </c>
      <c r="C374" s="37" t="s">
        <v>620</v>
      </c>
      <c r="D374" s="106">
        <v>2017</v>
      </c>
      <c r="E374" s="107" t="s">
        <v>113</v>
      </c>
      <c r="F374" s="112">
        <v>9.1999999999999998E-2</v>
      </c>
      <c r="G374" s="109" t="s">
        <v>141</v>
      </c>
    </row>
    <row r="375" spans="1:7" ht="39.6" hidden="1">
      <c r="A375" s="104" t="s">
        <v>58</v>
      </c>
      <c r="B375" s="105" t="s">
        <v>617</v>
      </c>
      <c r="C375" s="37" t="s">
        <v>621</v>
      </c>
      <c r="D375" s="106">
        <v>2024</v>
      </c>
      <c r="E375" s="107" t="s">
        <v>113</v>
      </c>
      <c r="F375" s="112">
        <v>0.11600000000000001</v>
      </c>
      <c r="G375" s="109" t="s">
        <v>141</v>
      </c>
    </row>
    <row r="376" spans="1:7" ht="19.899999999999999" hidden="1">
      <c r="A376" s="104" t="s">
        <v>58</v>
      </c>
      <c r="B376" s="105" t="s">
        <v>622</v>
      </c>
      <c r="C376" s="37" t="s">
        <v>623</v>
      </c>
      <c r="D376" s="106">
        <v>1992</v>
      </c>
      <c r="E376" s="107" t="s">
        <v>113</v>
      </c>
      <c r="F376" s="112">
        <v>8.3000000000000004E-2</v>
      </c>
      <c r="G376" s="109" t="s">
        <v>141</v>
      </c>
    </row>
    <row r="377" spans="1:7" ht="19.899999999999999" hidden="1">
      <c r="A377" s="104" t="s">
        <v>58</v>
      </c>
      <c r="B377" s="105" t="s">
        <v>622</v>
      </c>
      <c r="C377" s="37" t="s">
        <v>624</v>
      </c>
      <c r="D377" s="106">
        <v>2002</v>
      </c>
      <c r="E377" s="107" t="s">
        <v>113</v>
      </c>
      <c r="F377" s="112">
        <v>0.114</v>
      </c>
      <c r="G377" s="109" t="s">
        <v>141</v>
      </c>
    </row>
    <row r="378" spans="1:7" ht="19.899999999999999" hidden="1">
      <c r="A378" s="104" t="s">
        <v>58</v>
      </c>
      <c r="B378" s="105" t="s">
        <v>622</v>
      </c>
      <c r="C378" s="37" t="s">
        <v>625</v>
      </c>
      <c r="D378" s="106">
        <v>2017</v>
      </c>
      <c r="E378" s="107" t="s">
        <v>113</v>
      </c>
      <c r="F378" s="112">
        <v>0.17699999999999999</v>
      </c>
      <c r="G378" s="109" t="s">
        <v>141</v>
      </c>
    </row>
    <row r="379" spans="1:7" ht="19.899999999999999" hidden="1">
      <c r="A379" s="104" t="s">
        <v>58</v>
      </c>
      <c r="B379" s="105" t="s">
        <v>622</v>
      </c>
      <c r="C379" s="37" t="s">
        <v>626</v>
      </c>
      <c r="D379" s="106">
        <v>2024</v>
      </c>
      <c r="E379" s="107" t="s">
        <v>113</v>
      </c>
      <c r="F379" s="108">
        <v>0.218</v>
      </c>
      <c r="G379" s="109" t="s">
        <v>141</v>
      </c>
    </row>
    <row r="380" spans="1:7" ht="19.899999999999999" hidden="1">
      <c r="A380" s="104" t="s">
        <v>58</v>
      </c>
      <c r="B380" s="105" t="s">
        <v>627</v>
      </c>
      <c r="C380" s="37" t="s">
        <v>628</v>
      </c>
      <c r="D380" s="106">
        <v>2024</v>
      </c>
      <c r="E380" s="107" t="s">
        <v>113</v>
      </c>
      <c r="F380" s="108">
        <v>0.74199999999999999</v>
      </c>
      <c r="G380" s="109" t="s">
        <v>141</v>
      </c>
    </row>
    <row r="381" spans="1:7" ht="19.899999999999999" hidden="1">
      <c r="A381" s="104" t="s">
        <v>58</v>
      </c>
      <c r="B381" s="105" t="s">
        <v>629</v>
      </c>
      <c r="C381" s="37" t="s">
        <v>630</v>
      </c>
      <c r="D381" s="106">
        <v>2023</v>
      </c>
      <c r="E381" s="107" t="s">
        <v>631</v>
      </c>
      <c r="F381" s="108"/>
      <c r="G381" s="109" t="s">
        <v>632</v>
      </c>
    </row>
    <row r="382" spans="1:7" ht="19.899999999999999" hidden="1">
      <c r="A382" s="104" t="s">
        <v>58</v>
      </c>
      <c r="B382" s="105" t="s">
        <v>629</v>
      </c>
      <c r="C382" s="37" t="s">
        <v>633</v>
      </c>
      <c r="D382" s="106">
        <v>2023</v>
      </c>
      <c r="E382" s="107" t="s">
        <v>631</v>
      </c>
      <c r="F382" s="108"/>
      <c r="G382" s="109" t="s">
        <v>632</v>
      </c>
    </row>
    <row r="383" spans="1:7" ht="39.6" hidden="1">
      <c r="A383" s="104" t="s">
        <v>58</v>
      </c>
      <c r="B383" s="105" t="s">
        <v>634</v>
      </c>
      <c r="C383" s="37" t="s">
        <v>635</v>
      </c>
      <c r="D383" s="106">
        <v>2023</v>
      </c>
      <c r="E383" s="107" t="s">
        <v>352</v>
      </c>
      <c r="F383" s="108"/>
      <c r="G383" s="109" t="s">
        <v>636</v>
      </c>
    </row>
    <row r="384" spans="1:7" ht="39.6" hidden="1">
      <c r="A384" s="104" t="s">
        <v>58</v>
      </c>
      <c r="B384" s="105" t="s">
        <v>634</v>
      </c>
      <c r="C384" s="37" t="s">
        <v>637</v>
      </c>
      <c r="D384" s="106">
        <v>2023</v>
      </c>
      <c r="E384" s="107" t="s">
        <v>352</v>
      </c>
      <c r="F384" s="108"/>
      <c r="G384" s="109" t="s">
        <v>636</v>
      </c>
    </row>
    <row r="385" spans="1:7" ht="19.899999999999999" hidden="1">
      <c r="A385" s="104" t="s">
        <v>58</v>
      </c>
      <c r="B385" s="105" t="s">
        <v>634</v>
      </c>
      <c r="C385" s="37" t="s">
        <v>638</v>
      </c>
      <c r="D385" s="106">
        <v>2023</v>
      </c>
      <c r="E385" s="107" t="s">
        <v>352</v>
      </c>
      <c r="F385" s="108"/>
      <c r="G385" s="109" t="s">
        <v>636</v>
      </c>
    </row>
    <row r="386" spans="1:7" ht="19.899999999999999" hidden="1">
      <c r="A386" s="104" t="s">
        <v>60</v>
      </c>
      <c r="B386" s="105" t="s">
        <v>639</v>
      </c>
      <c r="C386" s="37" t="s">
        <v>640</v>
      </c>
      <c r="D386" s="106">
        <v>2024</v>
      </c>
      <c r="E386" s="107" t="s">
        <v>113</v>
      </c>
      <c r="F386" s="120"/>
      <c r="G386" s="109" t="s">
        <v>641</v>
      </c>
    </row>
    <row r="387" spans="1:7" ht="19.899999999999999" hidden="1">
      <c r="A387" s="104" t="s">
        <v>60</v>
      </c>
      <c r="B387" s="105" t="s">
        <v>639</v>
      </c>
      <c r="C387" s="37" t="s">
        <v>642</v>
      </c>
      <c r="D387" s="106">
        <v>2024</v>
      </c>
      <c r="E387" s="107" t="s">
        <v>113</v>
      </c>
      <c r="F387" s="112"/>
      <c r="G387" s="109" t="s">
        <v>164</v>
      </c>
    </row>
    <row r="388" spans="1:7" ht="19.899999999999999" hidden="1">
      <c r="A388" s="104" t="s">
        <v>60</v>
      </c>
      <c r="B388" s="105" t="s">
        <v>643</v>
      </c>
      <c r="C388" s="37" t="s">
        <v>644</v>
      </c>
      <c r="D388" s="106">
        <v>2024</v>
      </c>
      <c r="E388" s="107" t="s">
        <v>645</v>
      </c>
      <c r="F388" s="108">
        <v>7.5663282422638503</v>
      </c>
      <c r="G388" s="109" t="s">
        <v>164</v>
      </c>
    </row>
    <row r="389" spans="1:7" ht="19.899999999999999" hidden="1">
      <c r="A389" s="104" t="s">
        <v>60</v>
      </c>
      <c r="B389" s="105" t="s">
        <v>643</v>
      </c>
      <c r="C389" s="37" t="s">
        <v>646</v>
      </c>
      <c r="D389" s="106">
        <v>2024</v>
      </c>
      <c r="E389" s="107" t="s">
        <v>113</v>
      </c>
      <c r="F389" s="108">
        <v>0.77700000000000002</v>
      </c>
      <c r="G389" s="109" t="s">
        <v>164</v>
      </c>
    </row>
    <row r="390" spans="1:7" ht="19.899999999999999">
      <c r="A390" s="104" t="s">
        <v>60</v>
      </c>
      <c r="B390" s="105" t="s">
        <v>647</v>
      </c>
      <c r="C390" s="37" t="s">
        <v>648</v>
      </c>
      <c r="D390" s="106">
        <v>2024</v>
      </c>
      <c r="E390" s="107" t="s">
        <v>352</v>
      </c>
      <c r="F390" s="112">
        <v>0.36625000000000002</v>
      </c>
      <c r="G390" s="109" t="s">
        <v>649</v>
      </c>
    </row>
    <row r="391" spans="1:7" ht="19.899999999999999">
      <c r="A391" s="104" t="s">
        <v>60</v>
      </c>
      <c r="B391" s="105" t="s">
        <v>647</v>
      </c>
      <c r="C391" s="37" t="s">
        <v>650</v>
      </c>
      <c r="D391" s="106">
        <v>2024</v>
      </c>
      <c r="E391" s="107" t="s">
        <v>352</v>
      </c>
      <c r="F391" s="112">
        <v>0.19562499999999999</v>
      </c>
      <c r="G391" s="109" t="s">
        <v>649</v>
      </c>
    </row>
    <row r="392" spans="1:7" ht="19.899999999999999">
      <c r="A392" s="104" t="s">
        <v>60</v>
      </c>
      <c r="B392" s="105" t="s">
        <v>651</v>
      </c>
      <c r="C392" s="37" t="s">
        <v>652</v>
      </c>
      <c r="D392" s="106">
        <v>2024</v>
      </c>
      <c r="E392" s="107" t="s">
        <v>352</v>
      </c>
      <c r="F392" s="112">
        <v>0.218</v>
      </c>
      <c r="G392" s="109" t="s">
        <v>649</v>
      </c>
    </row>
    <row r="393" spans="1:7" ht="19.899999999999999">
      <c r="A393" s="104" t="s">
        <v>60</v>
      </c>
      <c r="B393" s="105" t="s">
        <v>651</v>
      </c>
      <c r="C393" s="37" t="s">
        <v>653</v>
      </c>
      <c r="D393" s="106">
        <v>2024</v>
      </c>
      <c r="E393" s="107" t="s">
        <v>352</v>
      </c>
      <c r="F393" s="112">
        <v>0.78200000000000003</v>
      </c>
      <c r="G393" s="109" t="s">
        <v>649</v>
      </c>
    </row>
    <row r="394" spans="1:7" ht="19.899999999999999">
      <c r="A394" s="104" t="s">
        <v>60</v>
      </c>
      <c r="B394" s="105" t="s">
        <v>654</v>
      </c>
      <c r="C394" s="37" t="s">
        <v>655</v>
      </c>
      <c r="D394" s="106">
        <v>2024</v>
      </c>
      <c r="E394" s="107" t="s">
        <v>352</v>
      </c>
      <c r="F394" s="112">
        <v>0.15266666666666701</v>
      </c>
      <c r="G394" s="109" t="s">
        <v>649</v>
      </c>
    </row>
    <row r="395" spans="1:7" ht="19.899999999999999" hidden="1">
      <c r="A395" s="104" t="s">
        <v>60</v>
      </c>
      <c r="B395" s="105" t="s">
        <v>654</v>
      </c>
      <c r="C395" s="37" t="s">
        <v>656</v>
      </c>
      <c r="D395" s="106">
        <v>2024</v>
      </c>
      <c r="E395" s="107" t="s">
        <v>352</v>
      </c>
      <c r="F395" s="112">
        <v>0.25333333333333302</v>
      </c>
      <c r="G395" s="109" t="s">
        <v>649</v>
      </c>
    </row>
    <row r="396" spans="1:7" ht="19.899999999999999" hidden="1">
      <c r="A396" s="104" t="s">
        <v>60</v>
      </c>
      <c r="B396" s="105" t="s">
        <v>654</v>
      </c>
      <c r="C396" s="37" t="s">
        <v>657</v>
      </c>
      <c r="D396" s="106">
        <v>2024</v>
      </c>
      <c r="E396" s="107" t="s">
        <v>352</v>
      </c>
      <c r="F396" s="112">
        <v>0.59533333333333305</v>
      </c>
      <c r="G396" s="109" t="s">
        <v>649</v>
      </c>
    </row>
    <row r="397" spans="1:7" ht="19.899999999999999" hidden="1">
      <c r="A397" s="104" t="s">
        <v>60</v>
      </c>
      <c r="B397" s="105" t="s">
        <v>658</v>
      </c>
      <c r="C397" s="37" t="s">
        <v>659</v>
      </c>
      <c r="D397" s="106">
        <v>2024</v>
      </c>
      <c r="E397" s="107" t="s">
        <v>346</v>
      </c>
      <c r="F397" s="108"/>
      <c r="G397" s="109" t="s">
        <v>649</v>
      </c>
    </row>
    <row r="398" spans="1:7" ht="19.899999999999999" hidden="1">
      <c r="A398" s="104" t="s">
        <v>60</v>
      </c>
      <c r="B398" s="105" t="s">
        <v>658</v>
      </c>
      <c r="C398" s="37" t="s">
        <v>660</v>
      </c>
      <c r="D398" s="106">
        <v>2024</v>
      </c>
      <c r="E398" s="107" t="s">
        <v>346</v>
      </c>
      <c r="F398" s="108"/>
      <c r="G398" s="109" t="s">
        <v>649</v>
      </c>
    </row>
    <row r="399" spans="1:7" ht="19.899999999999999" hidden="1">
      <c r="A399" s="104" t="s">
        <v>60</v>
      </c>
      <c r="B399" s="105" t="s">
        <v>661</v>
      </c>
      <c r="C399" s="37" t="s">
        <v>662</v>
      </c>
      <c r="D399" s="106">
        <v>2024</v>
      </c>
      <c r="E399" s="107" t="s">
        <v>134</v>
      </c>
      <c r="F399" s="108">
        <v>7.71875</v>
      </c>
      <c r="G399" s="109" t="s">
        <v>649</v>
      </c>
    </row>
    <row r="400" spans="1:7" ht="19.899999999999999" hidden="1">
      <c r="A400" s="104" t="s">
        <v>60</v>
      </c>
      <c r="B400" s="105" t="s">
        <v>661</v>
      </c>
      <c r="C400" s="37" t="s">
        <v>663</v>
      </c>
      <c r="D400" s="106">
        <v>2024</v>
      </c>
      <c r="E400" s="107" t="s">
        <v>664</v>
      </c>
      <c r="F400" s="112">
        <v>0.58062499999999995</v>
      </c>
      <c r="G400" s="109" t="s">
        <v>649</v>
      </c>
    </row>
    <row r="401" spans="1:7" ht="19.899999999999999" hidden="1">
      <c r="A401" s="104" t="s">
        <v>60</v>
      </c>
      <c r="B401" s="105" t="s">
        <v>661</v>
      </c>
      <c r="C401" s="37" t="s">
        <v>665</v>
      </c>
      <c r="D401" s="106">
        <v>2024</v>
      </c>
      <c r="E401" s="107" t="s">
        <v>664</v>
      </c>
      <c r="F401" s="110"/>
      <c r="G401" s="109" t="s">
        <v>649</v>
      </c>
    </row>
    <row r="402" spans="1:7" ht="19.899999999999999" hidden="1">
      <c r="A402" s="104" t="s">
        <v>62</v>
      </c>
      <c r="B402" s="105" t="s">
        <v>666</v>
      </c>
      <c r="C402" s="37" t="s">
        <v>667</v>
      </c>
      <c r="D402" s="106">
        <v>2024</v>
      </c>
      <c r="E402" s="107" t="s">
        <v>62</v>
      </c>
      <c r="F402" s="110">
        <v>6592807</v>
      </c>
      <c r="G402" s="109" t="s">
        <v>164</v>
      </c>
    </row>
    <row r="403" spans="1:7" ht="19.899999999999999" hidden="1">
      <c r="A403" s="104" t="s">
        <v>62</v>
      </c>
      <c r="B403" s="105" t="s">
        <v>666</v>
      </c>
      <c r="C403" s="37" t="s">
        <v>668</v>
      </c>
      <c r="D403" s="106">
        <v>2024</v>
      </c>
      <c r="E403" s="107" t="s">
        <v>62</v>
      </c>
      <c r="F403" s="110">
        <v>4739452</v>
      </c>
      <c r="G403" s="109" t="s">
        <v>164</v>
      </c>
    </row>
    <row r="404" spans="1:7" ht="19.899999999999999" hidden="1">
      <c r="A404" s="104" t="s">
        <v>62</v>
      </c>
      <c r="B404" s="105" t="s">
        <v>666</v>
      </c>
      <c r="C404" s="37" t="s">
        <v>669</v>
      </c>
      <c r="D404" s="106">
        <v>2024</v>
      </c>
      <c r="E404" s="107" t="s">
        <v>62</v>
      </c>
      <c r="F404" s="110">
        <v>1807463</v>
      </c>
      <c r="G404" s="109" t="s">
        <v>164</v>
      </c>
    </row>
    <row r="405" spans="1:7" ht="19.899999999999999" hidden="1">
      <c r="A405" s="104" t="s">
        <v>62</v>
      </c>
      <c r="B405" s="105" t="s">
        <v>666</v>
      </c>
      <c r="C405" s="37" t="s">
        <v>670</v>
      </c>
      <c r="D405" s="106">
        <v>2024</v>
      </c>
      <c r="E405" s="107" t="s">
        <v>62</v>
      </c>
      <c r="F405" s="108">
        <v>12039</v>
      </c>
      <c r="G405" s="109" t="s">
        <v>164</v>
      </c>
    </row>
    <row r="406" spans="1:7" ht="19.899999999999999" hidden="1">
      <c r="A406" s="104" t="s">
        <v>62</v>
      </c>
      <c r="B406" s="105" t="s">
        <v>666</v>
      </c>
      <c r="C406" s="37" t="s">
        <v>671</v>
      </c>
      <c r="D406" s="106">
        <v>2024</v>
      </c>
      <c r="E406" s="107" t="s">
        <v>62</v>
      </c>
      <c r="F406" s="108">
        <v>33853</v>
      </c>
      <c r="G406" s="109" t="s">
        <v>164</v>
      </c>
    </row>
    <row r="407" spans="1:7" ht="19.899999999999999" hidden="1">
      <c r="A407" s="104" t="s">
        <v>64</v>
      </c>
      <c r="B407" s="105" t="s">
        <v>672</v>
      </c>
      <c r="C407" s="37" t="s">
        <v>673</v>
      </c>
      <c r="D407" s="106">
        <v>2025</v>
      </c>
      <c r="E407" s="107" t="s">
        <v>674</v>
      </c>
      <c r="F407" s="108">
        <v>396</v>
      </c>
      <c r="G407" s="109" t="s">
        <v>675</v>
      </c>
    </row>
    <row r="408" spans="1:7" ht="19.899999999999999" hidden="1">
      <c r="A408" s="104" t="s">
        <v>64</v>
      </c>
      <c r="B408" s="105" t="s">
        <v>672</v>
      </c>
      <c r="C408" s="37" t="s">
        <v>676</v>
      </c>
      <c r="D408" s="106">
        <v>2024</v>
      </c>
      <c r="E408" s="107" t="s">
        <v>674</v>
      </c>
      <c r="F408" s="117">
        <v>458</v>
      </c>
      <c r="G408" s="109" t="s">
        <v>675</v>
      </c>
    </row>
    <row r="409" spans="1:7" ht="19.899999999999999" hidden="1">
      <c r="A409" s="104" t="s">
        <v>64</v>
      </c>
      <c r="B409" s="105" t="s">
        <v>672</v>
      </c>
      <c r="C409" s="37" t="s">
        <v>677</v>
      </c>
      <c r="D409" s="106">
        <v>2023</v>
      </c>
      <c r="E409" s="107" t="s">
        <v>674</v>
      </c>
      <c r="F409" s="117">
        <v>448</v>
      </c>
      <c r="G409" s="109" t="s">
        <v>675</v>
      </c>
    </row>
    <row r="410" spans="1:7" ht="19.899999999999999" hidden="1">
      <c r="A410" s="104" t="s">
        <v>64</v>
      </c>
      <c r="B410" s="105" t="s">
        <v>672</v>
      </c>
      <c r="C410" s="37" t="s">
        <v>678</v>
      </c>
      <c r="D410" s="106">
        <v>2025</v>
      </c>
      <c r="E410" s="107" t="s">
        <v>679</v>
      </c>
      <c r="F410" s="117">
        <v>92903.79</v>
      </c>
      <c r="G410" s="109" t="s">
        <v>675</v>
      </c>
    </row>
    <row r="411" spans="1:7" ht="19.899999999999999">
      <c r="A411" s="104" t="s">
        <v>64</v>
      </c>
      <c r="B411" s="105" t="s">
        <v>672</v>
      </c>
      <c r="C411" s="37" t="s">
        <v>680</v>
      </c>
      <c r="D411" s="106">
        <v>2024</v>
      </c>
      <c r="E411" s="107" t="s">
        <v>679</v>
      </c>
      <c r="F411" s="117">
        <v>90562.18</v>
      </c>
      <c r="G411" s="109" t="s">
        <v>675</v>
      </c>
    </row>
    <row r="412" spans="1:7" ht="19.899999999999999">
      <c r="A412" s="104" t="s">
        <v>64</v>
      </c>
      <c r="B412" s="105" t="s">
        <v>672</v>
      </c>
      <c r="C412" s="37" t="s">
        <v>681</v>
      </c>
      <c r="D412" s="106">
        <v>2023</v>
      </c>
      <c r="E412" s="107" t="s">
        <v>679</v>
      </c>
      <c r="F412" s="117">
        <v>53118.49</v>
      </c>
      <c r="G412" s="109" t="s">
        <v>675</v>
      </c>
    </row>
    <row r="413" spans="1:7" ht="19.899999999999999">
      <c r="A413" s="104" t="s">
        <v>64</v>
      </c>
      <c r="B413" s="105" t="s">
        <v>682</v>
      </c>
      <c r="C413" s="37" t="s">
        <v>683</v>
      </c>
      <c r="D413" s="106">
        <v>2023</v>
      </c>
      <c r="E413" s="107" t="s">
        <v>679</v>
      </c>
      <c r="F413" s="110"/>
      <c r="G413" s="109" t="s">
        <v>684</v>
      </c>
    </row>
    <row r="414" spans="1:7" ht="19.899999999999999">
      <c r="A414" s="104" t="s">
        <v>64</v>
      </c>
      <c r="B414" s="105" t="s">
        <v>682</v>
      </c>
      <c r="C414" s="37" t="s">
        <v>685</v>
      </c>
      <c r="D414" s="106">
        <v>2024</v>
      </c>
      <c r="E414" s="107" t="s">
        <v>679</v>
      </c>
      <c r="F414" s="110"/>
      <c r="G414" s="109" t="s">
        <v>684</v>
      </c>
    </row>
    <row r="415" spans="1:7" ht="19.899999999999999">
      <c r="A415" s="104" t="s">
        <v>64</v>
      </c>
      <c r="B415" s="105" t="s">
        <v>682</v>
      </c>
      <c r="C415" s="37" t="s">
        <v>686</v>
      </c>
      <c r="D415" s="106">
        <v>2025</v>
      </c>
      <c r="E415" s="107" t="s">
        <v>679</v>
      </c>
      <c r="F415" s="110"/>
      <c r="G415" s="109" t="s">
        <v>684</v>
      </c>
    </row>
    <row r="416" spans="1:7" ht="19.899999999999999">
      <c r="A416" s="104" t="s">
        <v>64</v>
      </c>
      <c r="B416" s="105" t="s">
        <v>687</v>
      </c>
      <c r="C416" s="37" t="s">
        <v>688</v>
      </c>
      <c r="D416" s="106">
        <v>2023</v>
      </c>
      <c r="E416" s="107" t="s">
        <v>689</v>
      </c>
      <c r="F416" s="110"/>
      <c r="G416" s="109" t="s">
        <v>684</v>
      </c>
    </row>
    <row r="417" spans="1:7" ht="19.899999999999999" hidden="1">
      <c r="A417" s="104" t="s">
        <v>64</v>
      </c>
      <c r="B417" s="105" t="s">
        <v>687</v>
      </c>
      <c r="C417" s="37" t="s">
        <v>690</v>
      </c>
      <c r="D417" s="106">
        <v>2024</v>
      </c>
      <c r="E417" s="107" t="s">
        <v>689</v>
      </c>
      <c r="F417" s="110"/>
      <c r="G417" s="109" t="s">
        <v>684</v>
      </c>
    </row>
    <row r="418" spans="1:7" ht="19.899999999999999" hidden="1">
      <c r="A418" s="104" t="s">
        <v>64</v>
      </c>
      <c r="B418" s="105" t="s">
        <v>687</v>
      </c>
      <c r="C418" s="37" t="s">
        <v>691</v>
      </c>
      <c r="D418" s="106">
        <v>2025</v>
      </c>
      <c r="E418" s="107" t="s">
        <v>689</v>
      </c>
      <c r="F418" s="110"/>
      <c r="G418" s="109" t="s">
        <v>684</v>
      </c>
    </row>
    <row r="419" spans="1:7" ht="19.899999999999999" hidden="1">
      <c r="A419" s="104" t="s">
        <v>66</v>
      </c>
      <c r="B419" s="105" t="s">
        <v>692</v>
      </c>
      <c r="C419" s="37" t="s">
        <v>693</v>
      </c>
      <c r="D419" s="106">
        <v>2020</v>
      </c>
      <c r="E419" s="107" t="s">
        <v>694</v>
      </c>
      <c r="F419" s="108"/>
      <c r="G419" s="109" t="s">
        <v>164</v>
      </c>
    </row>
    <row r="420" spans="1:7" ht="19.899999999999999" hidden="1">
      <c r="A420" s="104" t="s">
        <v>66</v>
      </c>
      <c r="B420" s="105" t="s">
        <v>692</v>
      </c>
      <c r="C420" s="37" t="s">
        <v>695</v>
      </c>
      <c r="D420" s="106">
        <v>2021</v>
      </c>
      <c r="E420" s="107" t="s">
        <v>694</v>
      </c>
      <c r="F420" s="108"/>
      <c r="G420" s="109" t="s">
        <v>164</v>
      </c>
    </row>
    <row r="421" spans="1:7" ht="19.899999999999999" hidden="1">
      <c r="A421" s="104" t="s">
        <v>66</v>
      </c>
      <c r="B421" s="105" t="s">
        <v>692</v>
      </c>
      <c r="C421" s="37" t="s">
        <v>696</v>
      </c>
      <c r="D421" s="106">
        <v>2022</v>
      </c>
      <c r="E421" s="107" t="s">
        <v>694</v>
      </c>
      <c r="F421" s="108"/>
      <c r="G421" s="109" t="s">
        <v>164</v>
      </c>
    </row>
    <row r="422" spans="1:7" ht="19.899999999999999" hidden="1">
      <c r="A422" s="104" t="s">
        <v>66</v>
      </c>
      <c r="B422" s="105" t="s">
        <v>692</v>
      </c>
      <c r="C422" s="37" t="s">
        <v>697</v>
      </c>
      <c r="D422" s="106">
        <v>2023</v>
      </c>
      <c r="E422" s="107" t="s">
        <v>694</v>
      </c>
      <c r="F422" s="108"/>
      <c r="G422" s="109" t="s">
        <v>164</v>
      </c>
    </row>
    <row r="423" spans="1:7" ht="19.899999999999999" hidden="1">
      <c r="A423" s="104" t="s">
        <v>66</v>
      </c>
      <c r="B423" s="105" t="s">
        <v>692</v>
      </c>
      <c r="C423" s="37" t="s">
        <v>698</v>
      </c>
      <c r="D423" s="106">
        <v>2024</v>
      </c>
      <c r="E423" s="107" t="s">
        <v>694</v>
      </c>
      <c r="F423" s="108"/>
      <c r="G423" s="109" t="s">
        <v>164</v>
      </c>
    </row>
    <row r="424" spans="1:7" ht="19.899999999999999" hidden="1">
      <c r="A424" s="104" t="s">
        <v>66</v>
      </c>
      <c r="B424" s="105" t="s">
        <v>699</v>
      </c>
      <c r="C424" s="37" t="s">
        <v>700</v>
      </c>
      <c r="D424" s="106">
        <v>2020</v>
      </c>
      <c r="E424" s="107" t="s">
        <v>694</v>
      </c>
      <c r="F424" s="108"/>
      <c r="G424" s="109" t="s">
        <v>164</v>
      </c>
    </row>
    <row r="425" spans="1:7" ht="19.899999999999999" hidden="1">
      <c r="A425" s="104" t="s">
        <v>66</v>
      </c>
      <c r="B425" s="105" t="s">
        <v>699</v>
      </c>
      <c r="C425" s="37" t="s">
        <v>701</v>
      </c>
      <c r="D425" s="106">
        <v>2021</v>
      </c>
      <c r="E425" s="107" t="s">
        <v>694</v>
      </c>
      <c r="F425" s="108"/>
      <c r="G425" s="109" t="s">
        <v>164</v>
      </c>
    </row>
    <row r="426" spans="1:7" ht="19.899999999999999" hidden="1">
      <c r="A426" s="104" t="s">
        <v>66</v>
      </c>
      <c r="B426" s="105" t="s">
        <v>699</v>
      </c>
      <c r="C426" s="37" t="s">
        <v>702</v>
      </c>
      <c r="D426" s="106">
        <v>2022</v>
      </c>
      <c r="E426" s="107" t="s">
        <v>694</v>
      </c>
      <c r="F426" s="108"/>
      <c r="G426" s="109" t="s">
        <v>164</v>
      </c>
    </row>
    <row r="427" spans="1:7" ht="19.899999999999999" hidden="1">
      <c r="A427" s="104" t="s">
        <v>66</v>
      </c>
      <c r="B427" s="105" t="s">
        <v>699</v>
      </c>
      <c r="C427" s="37" t="s">
        <v>703</v>
      </c>
      <c r="D427" s="106">
        <v>2023</v>
      </c>
      <c r="E427" s="107" t="s">
        <v>694</v>
      </c>
      <c r="F427" s="108"/>
      <c r="G427" s="109" t="s">
        <v>164</v>
      </c>
    </row>
    <row r="428" spans="1:7" ht="19.899999999999999" hidden="1">
      <c r="A428" s="104" t="s">
        <v>66</v>
      </c>
      <c r="B428" s="105" t="s">
        <v>699</v>
      </c>
      <c r="C428" s="37" t="s">
        <v>704</v>
      </c>
      <c r="D428" s="106">
        <v>2024</v>
      </c>
      <c r="E428" s="107" t="s">
        <v>694</v>
      </c>
      <c r="F428" s="108"/>
      <c r="G428" s="109" t="s">
        <v>164</v>
      </c>
    </row>
    <row r="429" spans="1:7" ht="19.899999999999999" hidden="1">
      <c r="A429" s="104" t="s">
        <v>66</v>
      </c>
      <c r="B429" s="105" t="s">
        <v>705</v>
      </c>
      <c r="C429" s="37" t="s">
        <v>706</v>
      </c>
      <c r="D429" s="106">
        <v>2020</v>
      </c>
      <c r="E429" s="107" t="s">
        <v>694</v>
      </c>
      <c r="F429" s="108"/>
      <c r="G429" s="109" t="s">
        <v>164</v>
      </c>
    </row>
    <row r="430" spans="1:7" ht="19.899999999999999" hidden="1">
      <c r="A430" s="104" t="s">
        <v>66</v>
      </c>
      <c r="B430" s="105" t="s">
        <v>705</v>
      </c>
      <c r="C430" s="37" t="s">
        <v>707</v>
      </c>
      <c r="D430" s="106">
        <v>2021</v>
      </c>
      <c r="E430" s="107" t="s">
        <v>694</v>
      </c>
      <c r="F430" s="108"/>
      <c r="G430" s="109" t="s">
        <v>164</v>
      </c>
    </row>
    <row r="431" spans="1:7" ht="19.899999999999999" hidden="1">
      <c r="A431" s="121" t="s">
        <v>66</v>
      </c>
      <c r="B431" s="122" t="s">
        <v>705</v>
      </c>
      <c r="C431" s="82" t="s">
        <v>708</v>
      </c>
      <c r="D431" s="123">
        <v>2022</v>
      </c>
      <c r="E431" s="124" t="s">
        <v>694</v>
      </c>
      <c r="F431" s="125"/>
      <c r="G431" s="126" t="s">
        <v>164</v>
      </c>
    </row>
    <row r="432" spans="1:7" ht="19.899999999999999">
      <c r="A432" s="127" t="s">
        <v>66</v>
      </c>
      <c r="B432" s="128" t="s">
        <v>705</v>
      </c>
      <c r="C432" s="129" t="s">
        <v>709</v>
      </c>
      <c r="D432" s="130">
        <v>2023</v>
      </c>
      <c r="E432" s="131" t="s">
        <v>694</v>
      </c>
      <c r="G432" s="132" t="s">
        <v>164</v>
      </c>
    </row>
    <row r="433" spans="1:7" ht="19.899999999999999">
      <c r="A433" s="127" t="s">
        <v>66</v>
      </c>
      <c r="B433" s="128" t="s">
        <v>705</v>
      </c>
      <c r="C433" s="129" t="s">
        <v>710</v>
      </c>
      <c r="D433" s="130">
        <v>2024</v>
      </c>
      <c r="E433" s="131" t="s">
        <v>694</v>
      </c>
      <c r="G433" s="132" t="s">
        <v>164</v>
      </c>
    </row>
  </sheetData>
  <autoFilter ref="A4:G431" xr:uid="{4B9DBCDB-937A-45E1-B7A6-2FB2ED467877}">
    <filterColumn colId="1">
      <filters>
        <filter val="Pobreza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28214-4D77-4877-B7FD-D0D6B7FB5E09}">
  <dimension ref="A1:X433"/>
  <sheetViews>
    <sheetView showGridLines="0" workbookViewId="0"/>
  </sheetViews>
  <sheetFormatPr defaultColWidth="11.42578125" defaultRowHeight="14.45" outlineLevelCol="1"/>
  <cols>
    <col min="1" max="1" width="19.42578125" customWidth="1"/>
    <col min="2" max="2" width="32.42578125" customWidth="1"/>
    <col min="3" max="3" width="33.28515625" customWidth="1" outlineLevel="1"/>
    <col min="4" max="4" width="61.140625" customWidth="1"/>
    <col min="5" max="5" width="13.85546875" customWidth="1"/>
    <col min="6" max="6" width="25" customWidth="1"/>
    <col min="7" max="7" width="27.7109375" customWidth="1"/>
    <col min="8" max="8" width="17.5703125" style="87" customWidth="1"/>
    <col min="9" max="24" width="17.5703125" customWidth="1"/>
  </cols>
  <sheetData>
    <row r="1" spans="1:24" ht="31.9">
      <c r="A1" s="29" t="s">
        <v>741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9.899999999999999">
      <c r="A2" s="11" t="s">
        <v>742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0" customHeight="1">
      <c r="A4" s="30" t="s">
        <v>47</v>
      </c>
      <c r="B4" s="31" t="s">
        <v>97</v>
      </c>
      <c r="C4" s="31" t="s">
        <v>743</v>
      </c>
      <c r="D4" s="31" t="s">
        <v>98</v>
      </c>
      <c r="E4" s="31" t="s">
        <v>73</v>
      </c>
      <c r="F4" s="31" t="s">
        <v>99</v>
      </c>
      <c r="G4" s="31" t="s">
        <v>101</v>
      </c>
      <c r="H4" s="31" t="s">
        <v>15</v>
      </c>
      <c r="I4" s="31" t="s">
        <v>744</v>
      </c>
      <c r="J4" s="31" t="s">
        <v>745</v>
      </c>
      <c r="K4" s="31" t="s">
        <v>746</v>
      </c>
      <c r="L4" s="31" t="s">
        <v>747</v>
      </c>
      <c r="M4" s="31" t="s">
        <v>748</v>
      </c>
      <c r="N4" s="31" t="s">
        <v>749</v>
      </c>
      <c r="O4" s="31" t="s">
        <v>750</v>
      </c>
      <c r="P4" s="31" t="s">
        <v>9</v>
      </c>
      <c r="Q4" s="31" t="s">
        <v>751</v>
      </c>
      <c r="R4" s="31" t="s">
        <v>752</v>
      </c>
      <c r="S4" s="31" t="s">
        <v>753</v>
      </c>
      <c r="T4" s="31" t="s">
        <v>754</v>
      </c>
      <c r="U4" s="31" t="s">
        <v>755</v>
      </c>
      <c r="V4" s="31" t="s">
        <v>756</v>
      </c>
      <c r="W4" s="31" t="s">
        <v>757</v>
      </c>
      <c r="X4" s="32" t="s">
        <v>758</v>
      </c>
    </row>
    <row r="5" spans="1:24" ht="20.45">
      <c r="A5" s="33" t="s">
        <v>49</v>
      </c>
      <c r="B5" s="34"/>
      <c r="C5" s="34" t="s">
        <v>25</v>
      </c>
      <c r="D5" s="35" t="s">
        <v>103</v>
      </c>
      <c r="E5" s="36"/>
      <c r="F5" s="37" t="s">
        <v>104</v>
      </c>
      <c r="G5" s="38"/>
      <c r="H5" s="39"/>
      <c r="I5" s="40" t="s">
        <v>759</v>
      </c>
      <c r="J5" s="40" t="s">
        <v>760</v>
      </c>
      <c r="K5" s="40" t="s">
        <v>746</v>
      </c>
      <c r="L5" s="40" t="s">
        <v>761</v>
      </c>
      <c r="M5" s="40" t="s">
        <v>762</v>
      </c>
      <c r="N5" s="40" t="s">
        <v>749</v>
      </c>
      <c r="O5" s="40" t="s">
        <v>763</v>
      </c>
      <c r="P5" s="40" t="s">
        <v>105</v>
      </c>
      <c r="Q5" s="40" t="s">
        <v>764</v>
      </c>
      <c r="R5" s="40" t="s">
        <v>765</v>
      </c>
      <c r="S5" s="40" t="s">
        <v>766</v>
      </c>
      <c r="T5" s="40" t="s">
        <v>767</v>
      </c>
      <c r="U5" s="40" t="s">
        <v>768</v>
      </c>
      <c r="V5" s="40" t="s">
        <v>769</v>
      </c>
      <c r="W5" s="40" t="s">
        <v>770</v>
      </c>
      <c r="X5" s="41" t="s">
        <v>771</v>
      </c>
    </row>
    <row r="6" spans="1:24" ht="20.45">
      <c r="A6" s="33" t="s">
        <v>49</v>
      </c>
      <c r="B6" s="34"/>
      <c r="C6" s="34" t="s">
        <v>772</v>
      </c>
      <c r="D6" s="35" t="s">
        <v>106</v>
      </c>
      <c r="E6" s="36"/>
      <c r="F6" s="37" t="s">
        <v>104</v>
      </c>
      <c r="G6" s="38"/>
      <c r="H6" s="39"/>
      <c r="I6" s="40" t="s">
        <v>773</v>
      </c>
      <c r="J6" s="40" t="s">
        <v>774</v>
      </c>
      <c r="K6" s="40" t="s">
        <v>775</v>
      </c>
      <c r="L6" s="40" t="s">
        <v>776</v>
      </c>
      <c r="M6" s="40" t="s">
        <v>777</v>
      </c>
      <c r="N6" s="40" t="s">
        <v>778</v>
      </c>
      <c r="O6" s="40" t="s">
        <v>779</v>
      </c>
      <c r="P6" s="40" t="s">
        <v>107</v>
      </c>
      <c r="Q6" s="40" t="s">
        <v>780</v>
      </c>
      <c r="R6" s="40" t="s">
        <v>781</v>
      </c>
      <c r="S6" s="40" t="s">
        <v>782</v>
      </c>
      <c r="T6" s="40" t="s">
        <v>783</v>
      </c>
      <c r="U6" s="40" t="s">
        <v>784</v>
      </c>
      <c r="V6" s="40" t="s">
        <v>785</v>
      </c>
      <c r="W6" s="40" t="s">
        <v>786</v>
      </c>
      <c r="X6" s="41" t="s">
        <v>787</v>
      </c>
    </row>
    <row r="7" spans="1:24" ht="20.45">
      <c r="A7" s="33" t="s">
        <v>49</v>
      </c>
      <c r="B7" s="34"/>
      <c r="C7" s="34" t="s">
        <v>788</v>
      </c>
      <c r="D7" s="35" t="s">
        <v>26</v>
      </c>
      <c r="E7" s="36"/>
      <c r="F7" s="37" t="s">
        <v>104</v>
      </c>
      <c r="G7" s="38"/>
      <c r="H7" s="39"/>
      <c r="I7" s="40" t="s">
        <v>789</v>
      </c>
      <c r="J7" s="40" t="s">
        <v>790</v>
      </c>
      <c r="K7" s="40" t="s">
        <v>791</v>
      </c>
      <c r="L7" s="40" t="s">
        <v>792</v>
      </c>
      <c r="M7" s="40" t="s">
        <v>793</v>
      </c>
      <c r="N7" s="40" t="s">
        <v>794</v>
      </c>
      <c r="O7" s="40" t="s">
        <v>795</v>
      </c>
      <c r="P7" s="40" t="s">
        <v>108</v>
      </c>
      <c r="Q7" s="40" t="s">
        <v>796</v>
      </c>
      <c r="R7" s="40" t="s">
        <v>797</v>
      </c>
      <c r="S7" s="40" t="s">
        <v>798</v>
      </c>
      <c r="T7" s="40" t="s">
        <v>799</v>
      </c>
      <c r="U7" s="40" t="s">
        <v>800</v>
      </c>
      <c r="V7" s="40" t="s">
        <v>801</v>
      </c>
      <c r="W7" s="40" t="s">
        <v>802</v>
      </c>
      <c r="X7" s="41" t="s">
        <v>803</v>
      </c>
    </row>
    <row r="8" spans="1:24" ht="20.45">
      <c r="A8" s="33" t="s">
        <v>51</v>
      </c>
      <c r="B8" s="34" t="s">
        <v>109</v>
      </c>
      <c r="C8" s="34" t="s">
        <v>109</v>
      </c>
      <c r="D8" s="35" t="s">
        <v>30</v>
      </c>
      <c r="E8" s="36"/>
      <c r="F8" s="37" t="s">
        <v>110</v>
      </c>
      <c r="G8" s="38" t="s">
        <v>111</v>
      </c>
      <c r="H8" s="42">
        <v>20206953</v>
      </c>
      <c r="I8" s="43">
        <v>263687</v>
      </c>
      <c r="J8" s="43">
        <v>410903</v>
      </c>
      <c r="K8" s="43">
        <v>722120</v>
      </c>
      <c r="L8" s="43">
        <v>320864</v>
      </c>
      <c r="M8" s="43">
        <v>889273</v>
      </c>
      <c r="N8" s="43">
        <v>2040166</v>
      </c>
      <c r="O8" s="43">
        <v>8471244</v>
      </c>
      <c r="P8" s="43">
        <v>1033238</v>
      </c>
      <c r="Q8" s="43">
        <v>1181074</v>
      </c>
      <c r="R8" s="43">
        <v>523876</v>
      </c>
      <c r="S8" s="43">
        <v>1690616</v>
      </c>
      <c r="T8" s="43">
        <v>1035918</v>
      </c>
      <c r="U8" s="43">
        <v>414293</v>
      </c>
      <c r="V8" s="43">
        <v>916721</v>
      </c>
      <c r="W8" s="43">
        <v>108744</v>
      </c>
      <c r="X8" s="44">
        <v>184216</v>
      </c>
    </row>
    <row r="9" spans="1:24" ht="20.45">
      <c r="A9" s="33" t="s">
        <v>51</v>
      </c>
      <c r="B9" s="34" t="s">
        <v>109</v>
      </c>
      <c r="C9" s="34" t="s">
        <v>804</v>
      </c>
      <c r="D9" s="35" t="s">
        <v>112</v>
      </c>
      <c r="E9" s="36"/>
      <c r="F9" s="37" t="s">
        <v>113</v>
      </c>
      <c r="G9" s="38" t="s">
        <v>111</v>
      </c>
      <c r="H9" s="39"/>
      <c r="I9" s="45">
        <v>1.3049320201813701E-2</v>
      </c>
      <c r="J9" s="45">
        <v>2.0334733296999301E-2</v>
      </c>
      <c r="K9" s="45">
        <v>3.5736214163510902E-2</v>
      </c>
      <c r="L9" s="45">
        <v>1.5878890795658299E-2</v>
      </c>
      <c r="M9" s="45">
        <v>4.4008267847210798E-2</v>
      </c>
      <c r="N9" s="45">
        <v>0.100963564373115</v>
      </c>
      <c r="O9" s="45">
        <v>0.41922421455624698</v>
      </c>
      <c r="P9" s="45">
        <v>5.11327957263027E-2</v>
      </c>
      <c r="Q9" s="45">
        <v>5.84488913296329E-2</v>
      </c>
      <c r="R9" s="45">
        <v>2.5925531672192199E-2</v>
      </c>
      <c r="S9" s="45">
        <v>8.3665063208688606E-2</v>
      </c>
      <c r="T9" s="45">
        <v>5.1265423342153602E-2</v>
      </c>
      <c r="U9" s="45">
        <v>2.05024973334673E-2</v>
      </c>
      <c r="V9" s="45">
        <v>4.5366612175522E-2</v>
      </c>
      <c r="W9" s="45">
        <v>5.3815139768969601E-3</v>
      </c>
      <c r="X9" s="46">
        <v>9.1164660005889995E-3</v>
      </c>
    </row>
    <row r="10" spans="1:24" ht="20.45">
      <c r="A10" s="33" t="s">
        <v>51</v>
      </c>
      <c r="B10" s="34" t="s">
        <v>109</v>
      </c>
      <c r="C10" s="34" t="s">
        <v>805</v>
      </c>
      <c r="D10" s="35" t="s">
        <v>114</v>
      </c>
      <c r="E10" s="36"/>
      <c r="F10" s="37" t="s">
        <v>110</v>
      </c>
      <c r="G10" s="38" t="s">
        <v>111</v>
      </c>
      <c r="H10" s="42">
        <v>9970025</v>
      </c>
      <c r="I10" s="43">
        <v>133209</v>
      </c>
      <c r="J10" s="43">
        <v>206868</v>
      </c>
      <c r="K10" s="43">
        <v>362842</v>
      </c>
      <c r="L10" s="43">
        <v>161704</v>
      </c>
      <c r="M10" s="43">
        <v>435021</v>
      </c>
      <c r="N10" s="43">
        <v>997310</v>
      </c>
      <c r="O10" s="43">
        <v>4194152</v>
      </c>
      <c r="P10" s="43">
        <v>516204</v>
      </c>
      <c r="Q10" s="43">
        <v>578091</v>
      </c>
      <c r="R10" s="43">
        <v>251913</v>
      </c>
      <c r="S10" s="43">
        <v>821640</v>
      </c>
      <c r="T10" s="43">
        <v>505021</v>
      </c>
      <c r="U10" s="43">
        <v>202098</v>
      </c>
      <c r="V10" s="43">
        <v>455519</v>
      </c>
      <c r="W10" s="43">
        <v>54690</v>
      </c>
      <c r="X10" s="44">
        <v>93743</v>
      </c>
    </row>
    <row r="11" spans="1:24" ht="20.45">
      <c r="A11" s="33" t="s">
        <v>51</v>
      </c>
      <c r="B11" s="34" t="s">
        <v>109</v>
      </c>
      <c r="C11" s="34" t="s">
        <v>806</v>
      </c>
      <c r="D11" s="35" t="s">
        <v>115</v>
      </c>
      <c r="E11" s="36"/>
      <c r="F11" s="37" t="s">
        <v>110</v>
      </c>
      <c r="G11" s="38" t="s">
        <v>111</v>
      </c>
      <c r="H11" s="42">
        <v>10236928</v>
      </c>
      <c r="I11" s="43">
        <v>130478</v>
      </c>
      <c r="J11" s="43">
        <v>204035</v>
      </c>
      <c r="K11" s="43">
        <v>359278</v>
      </c>
      <c r="L11" s="43">
        <v>159160</v>
      </c>
      <c r="M11" s="43">
        <v>454252</v>
      </c>
      <c r="N11" s="43">
        <v>1042856</v>
      </c>
      <c r="O11" s="43">
        <v>4277092</v>
      </c>
      <c r="P11" s="43">
        <v>517034</v>
      </c>
      <c r="Q11" s="43">
        <v>602983</v>
      </c>
      <c r="R11" s="43">
        <v>271963</v>
      </c>
      <c r="S11" s="43">
        <v>868976</v>
      </c>
      <c r="T11" s="43">
        <v>530897</v>
      </c>
      <c r="U11" s="43">
        <v>212195</v>
      </c>
      <c r="V11" s="43">
        <v>461202</v>
      </c>
      <c r="W11" s="43">
        <v>54054</v>
      </c>
      <c r="X11" s="44">
        <v>90473</v>
      </c>
    </row>
    <row r="12" spans="1:24" ht="20.45">
      <c r="A12" s="33" t="s">
        <v>51</v>
      </c>
      <c r="B12" s="34" t="s">
        <v>109</v>
      </c>
      <c r="C12" s="34" t="s">
        <v>807</v>
      </c>
      <c r="D12" s="35" t="s">
        <v>116</v>
      </c>
      <c r="E12" s="36"/>
      <c r="F12" s="37" t="s">
        <v>113</v>
      </c>
      <c r="G12" s="38" t="s">
        <v>117</v>
      </c>
      <c r="H12" s="47">
        <v>0.87767499527569204</v>
      </c>
      <c r="I12" s="45">
        <v>0.91667551356229104</v>
      </c>
      <c r="J12" s="45">
        <v>0.93800482819958997</v>
      </c>
      <c r="K12" s="45">
        <v>0.94109630078316597</v>
      </c>
      <c r="L12" s="45">
        <v>0.91037432557099296</v>
      </c>
      <c r="M12" s="45">
        <v>0.81194214254223296</v>
      </c>
      <c r="N12" s="45">
        <v>0.91005737093741801</v>
      </c>
      <c r="O12" s="45">
        <v>0.96295443374824696</v>
      </c>
      <c r="P12" s="45">
        <v>0.74392792122944995</v>
      </c>
      <c r="Q12" s="45">
        <v>0.73221780946456805</v>
      </c>
      <c r="R12" s="45">
        <v>0.69428579156861403</v>
      </c>
      <c r="S12" s="45">
        <v>0.88579815712308196</v>
      </c>
      <c r="T12" s="45">
        <v>0.70886647221549004</v>
      </c>
      <c r="U12" s="45">
        <v>0.71663067740368003</v>
      </c>
      <c r="V12" s="45">
        <v>0.736125390366691</v>
      </c>
      <c r="W12" s="45">
        <v>0.79584714709474802</v>
      </c>
      <c r="X12" s="46">
        <v>0.91902505809659396</v>
      </c>
    </row>
    <row r="13" spans="1:24" ht="20.45">
      <c r="A13" s="33" t="s">
        <v>51</v>
      </c>
      <c r="B13" s="34" t="s">
        <v>109</v>
      </c>
      <c r="C13" s="34" t="s">
        <v>808</v>
      </c>
      <c r="D13" s="35" t="s">
        <v>118</v>
      </c>
      <c r="E13" s="36"/>
      <c r="F13" s="37" t="s">
        <v>113</v>
      </c>
      <c r="G13" s="38" t="s">
        <v>117</v>
      </c>
      <c r="H13" s="47">
        <v>0.122325004724308</v>
      </c>
      <c r="I13" s="45">
        <v>8.3324486437708997E-2</v>
      </c>
      <c r="J13" s="45">
        <v>6.1995171800410198E-2</v>
      </c>
      <c r="K13" s="45">
        <v>5.8903699216833999E-2</v>
      </c>
      <c r="L13" s="45">
        <v>8.9625674429006694E-2</v>
      </c>
      <c r="M13" s="45">
        <v>0.18805785745776701</v>
      </c>
      <c r="N13" s="45">
        <v>8.9942629062581603E-2</v>
      </c>
      <c r="O13" s="45">
        <v>3.7045566251753197E-2</v>
      </c>
      <c r="P13" s="45">
        <v>0.25607207877054999</v>
      </c>
      <c r="Q13" s="45">
        <v>0.26778219053543201</v>
      </c>
      <c r="R13" s="45">
        <v>0.30571420843138603</v>
      </c>
      <c r="S13" s="45">
        <v>0.11420184287691799</v>
      </c>
      <c r="T13" s="45">
        <v>0.29113352778451002</v>
      </c>
      <c r="U13" s="45">
        <v>0.28336932259631997</v>
      </c>
      <c r="V13" s="45">
        <v>0.263874609633309</v>
      </c>
      <c r="W13" s="45">
        <v>0.20415285290525201</v>
      </c>
      <c r="X13" s="46">
        <v>8.0974941903406497E-2</v>
      </c>
    </row>
    <row r="14" spans="1:24" ht="20.45">
      <c r="A14" s="33" t="s">
        <v>51</v>
      </c>
      <c r="B14" s="34" t="s">
        <v>119</v>
      </c>
      <c r="C14" s="34">
        <v>2024</v>
      </c>
      <c r="D14" s="35" t="s">
        <v>120</v>
      </c>
      <c r="E14" s="36">
        <v>2024</v>
      </c>
      <c r="F14" s="37" t="s">
        <v>121</v>
      </c>
      <c r="G14" s="38" t="s">
        <v>122</v>
      </c>
      <c r="H14" s="47"/>
      <c r="I14" s="40">
        <v>15.5</v>
      </c>
      <c r="J14" s="40">
        <v>9.6</v>
      </c>
      <c r="K14" s="40">
        <v>5.7</v>
      </c>
      <c r="L14" s="40">
        <v>4.2</v>
      </c>
      <c r="M14" s="40">
        <v>21.7</v>
      </c>
      <c r="N14" s="40">
        <v>125.7</v>
      </c>
      <c r="O14" s="40">
        <v>546.9</v>
      </c>
      <c r="P14" s="40">
        <v>62.7</v>
      </c>
      <c r="Q14" s="40">
        <v>38.700000000000003</v>
      </c>
      <c r="R14" s="40">
        <v>39.799999999999997</v>
      </c>
      <c r="S14" s="40">
        <v>70.400000000000006</v>
      </c>
      <c r="T14" s="40">
        <v>32.5</v>
      </c>
      <c r="U14" s="40">
        <v>22.6</v>
      </c>
      <c r="V14" s="40">
        <v>18.899999999999999</v>
      </c>
      <c r="W14" s="40">
        <v>1</v>
      </c>
      <c r="X14" s="41">
        <v>1.4</v>
      </c>
    </row>
    <row r="15" spans="1:24" ht="20.45">
      <c r="A15" s="33" t="s">
        <v>51</v>
      </c>
      <c r="B15" s="34" t="s">
        <v>119</v>
      </c>
      <c r="C15" s="34">
        <v>2017</v>
      </c>
      <c r="D15" s="35" t="s">
        <v>123</v>
      </c>
      <c r="E15" s="36">
        <v>2017</v>
      </c>
      <c r="F15" s="37" t="s">
        <v>121</v>
      </c>
      <c r="G15" s="38" t="s">
        <v>122</v>
      </c>
      <c r="H15" s="47"/>
      <c r="I15" s="40">
        <v>15.4</v>
      </c>
      <c r="J15" s="40">
        <v>9.5</v>
      </c>
      <c r="K15" s="40">
        <v>5.7</v>
      </c>
      <c r="L15" s="40">
        <v>4.2</v>
      </c>
      <c r="M15" s="40">
        <v>21.4</v>
      </c>
      <c r="N15" s="40">
        <v>123.8</v>
      </c>
      <c r="O15" s="40">
        <v>543.5</v>
      </c>
      <c r="P15" s="40">
        <v>62.2</v>
      </c>
      <c r="Q15" s="40">
        <v>38.4</v>
      </c>
      <c r="R15" s="40">
        <v>39.6</v>
      </c>
      <c r="S15" s="40">
        <v>70.2</v>
      </c>
      <c r="T15" s="40">
        <v>32.299999999999997</v>
      </c>
      <c r="U15" s="40">
        <v>22.5</v>
      </c>
      <c r="V15" s="40">
        <v>18.8</v>
      </c>
      <c r="W15" s="40">
        <v>1</v>
      </c>
      <c r="X15" s="41">
        <v>1.4</v>
      </c>
    </row>
    <row r="16" spans="1:24" ht="20.45">
      <c r="A16" s="33" t="s">
        <v>51</v>
      </c>
      <c r="B16" s="34" t="s">
        <v>119</v>
      </c>
      <c r="C16" s="34">
        <v>2002</v>
      </c>
      <c r="D16" s="35" t="s">
        <v>124</v>
      </c>
      <c r="E16" s="36">
        <v>2002</v>
      </c>
      <c r="F16" s="37" t="s">
        <v>121</v>
      </c>
      <c r="G16" s="38" t="s">
        <v>122</v>
      </c>
      <c r="H16" s="47"/>
      <c r="I16" s="40"/>
      <c r="J16" s="40">
        <v>5.9</v>
      </c>
      <c r="K16" s="40">
        <v>4.0999999999999996</v>
      </c>
      <c r="L16" s="40">
        <v>3.5</v>
      </c>
      <c r="M16" s="40">
        <v>15.4</v>
      </c>
      <c r="N16" s="40">
        <v>97.3</v>
      </c>
      <c r="O16" s="40">
        <v>408</v>
      </c>
      <c r="P16" s="40">
        <v>49.4</v>
      </c>
      <c r="Q16" s="40">
        <v>31.1</v>
      </c>
      <c r="R16" s="40"/>
      <c r="S16" s="40">
        <v>52.1</v>
      </c>
      <c r="T16" s="40">
        <v>28.3</v>
      </c>
      <c r="U16" s="40"/>
      <c r="V16" s="40">
        <v>15.3</v>
      </c>
      <c r="W16" s="40">
        <v>0.9</v>
      </c>
      <c r="X16" s="41">
        <v>0.1</v>
      </c>
    </row>
    <row r="17" spans="1:24" ht="20.45">
      <c r="A17" s="33" t="s">
        <v>51</v>
      </c>
      <c r="B17" s="34" t="s">
        <v>125</v>
      </c>
      <c r="C17" s="34" t="s">
        <v>809</v>
      </c>
      <c r="D17" s="35" t="s">
        <v>126</v>
      </c>
      <c r="E17" s="36"/>
      <c r="F17" s="37" t="s">
        <v>110</v>
      </c>
      <c r="G17" s="38" t="s">
        <v>111</v>
      </c>
      <c r="H17" s="42">
        <v>3669787</v>
      </c>
      <c r="I17" s="43">
        <v>50887</v>
      </c>
      <c r="J17" s="43">
        <v>89205</v>
      </c>
      <c r="K17" s="43">
        <v>142026</v>
      </c>
      <c r="L17" s="43">
        <v>66469</v>
      </c>
      <c r="M17" s="43">
        <v>169314</v>
      </c>
      <c r="N17" s="43">
        <v>351597</v>
      </c>
      <c r="O17" s="43">
        <v>1522637</v>
      </c>
      <c r="P17" s="43">
        <v>188580</v>
      </c>
      <c r="Q17" s="43">
        <v>217357</v>
      </c>
      <c r="R17" s="43">
        <v>90614</v>
      </c>
      <c r="S17" s="43">
        <v>300012</v>
      </c>
      <c r="T17" s="43">
        <v>193967</v>
      </c>
      <c r="U17" s="43">
        <v>72556</v>
      </c>
      <c r="V17" s="43">
        <v>162593</v>
      </c>
      <c r="W17" s="43">
        <v>21286</v>
      </c>
      <c r="X17" s="44">
        <v>30687</v>
      </c>
    </row>
    <row r="18" spans="1:24" ht="20.45">
      <c r="A18" s="33" t="s">
        <v>51</v>
      </c>
      <c r="B18" s="34" t="s">
        <v>125</v>
      </c>
      <c r="C18" s="34" t="s">
        <v>810</v>
      </c>
      <c r="D18" s="35" t="s">
        <v>127</v>
      </c>
      <c r="E18" s="36"/>
      <c r="F18" s="37" t="s">
        <v>110</v>
      </c>
      <c r="G18" s="38" t="s">
        <v>111</v>
      </c>
      <c r="H18" s="42">
        <v>13660930</v>
      </c>
      <c r="I18" s="43">
        <v>178035</v>
      </c>
      <c r="J18" s="43">
        <v>281877</v>
      </c>
      <c r="K18" s="43">
        <v>513661</v>
      </c>
      <c r="L18" s="43">
        <v>212957</v>
      </c>
      <c r="M18" s="43">
        <v>586112</v>
      </c>
      <c r="N18" s="43">
        <v>1338719</v>
      </c>
      <c r="O18" s="43">
        <v>5855765</v>
      </c>
      <c r="P18" s="43">
        <v>679641</v>
      </c>
      <c r="Q18" s="43">
        <v>772152</v>
      </c>
      <c r="R18" s="43">
        <v>339259</v>
      </c>
      <c r="S18" s="43">
        <v>1130052</v>
      </c>
      <c r="T18" s="43">
        <v>676079</v>
      </c>
      <c r="U18" s="43">
        <v>275375</v>
      </c>
      <c r="V18" s="43">
        <v>621486</v>
      </c>
      <c r="W18" s="43">
        <v>73430</v>
      </c>
      <c r="X18" s="44">
        <v>126330</v>
      </c>
    </row>
    <row r="19" spans="1:24" ht="20.45">
      <c r="A19" s="33" t="s">
        <v>51</v>
      </c>
      <c r="B19" s="34" t="s">
        <v>125</v>
      </c>
      <c r="C19" s="34" t="s">
        <v>811</v>
      </c>
      <c r="D19" s="35" t="s">
        <v>128</v>
      </c>
      <c r="E19" s="36"/>
      <c r="F19" s="37" t="s">
        <v>110</v>
      </c>
      <c r="G19" s="38" t="s">
        <v>111</v>
      </c>
      <c r="H19" s="42">
        <v>2876236</v>
      </c>
      <c r="I19" s="43">
        <v>34765</v>
      </c>
      <c r="J19" s="43">
        <v>39821</v>
      </c>
      <c r="K19" s="43">
        <v>66433</v>
      </c>
      <c r="L19" s="43">
        <v>41438</v>
      </c>
      <c r="M19" s="43">
        <v>133847</v>
      </c>
      <c r="N19" s="43">
        <v>349850</v>
      </c>
      <c r="O19" s="43">
        <v>1092842</v>
      </c>
      <c r="P19" s="43">
        <v>165017</v>
      </c>
      <c r="Q19" s="43">
        <v>191565</v>
      </c>
      <c r="R19" s="43">
        <v>94003</v>
      </c>
      <c r="S19" s="43">
        <v>260552</v>
      </c>
      <c r="T19" s="43">
        <v>165872</v>
      </c>
      <c r="U19" s="43">
        <v>66362</v>
      </c>
      <c r="V19" s="43">
        <v>132642</v>
      </c>
      <c r="W19" s="43">
        <v>14028</v>
      </c>
      <c r="X19" s="44">
        <v>27199</v>
      </c>
    </row>
    <row r="20" spans="1:24" ht="20.45">
      <c r="A20" s="33" t="s">
        <v>51</v>
      </c>
      <c r="B20" s="34" t="s">
        <v>125</v>
      </c>
      <c r="C20" s="34" t="s">
        <v>812</v>
      </c>
      <c r="D20" s="35" t="s">
        <v>129</v>
      </c>
      <c r="E20" s="36"/>
      <c r="F20" s="37" t="s">
        <v>113</v>
      </c>
      <c r="G20" s="38" t="s">
        <v>111</v>
      </c>
      <c r="H20" s="47">
        <v>0.18161011212328701</v>
      </c>
      <c r="I20" s="45">
        <v>0.192982589206142</v>
      </c>
      <c r="J20" s="45">
        <v>0.217095032160875</v>
      </c>
      <c r="K20" s="45">
        <v>0.19667922228992399</v>
      </c>
      <c r="L20" s="45">
        <v>0.20715630298194901</v>
      </c>
      <c r="M20" s="45">
        <v>0.190395975139243</v>
      </c>
      <c r="N20" s="45">
        <v>0.172337447050877</v>
      </c>
      <c r="O20" s="45">
        <v>0.179741841930182</v>
      </c>
      <c r="P20" s="45">
        <v>0.18251361254619</v>
      </c>
      <c r="Q20" s="45">
        <v>0.18403334592074699</v>
      </c>
      <c r="R20" s="45">
        <v>0.17296841237239299</v>
      </c>
      <c r="S20" s="45">
        <v>0.17745721086278601</v>
      </c>
      <c r="T20" s="45">
        <v>0.18724165426221001</v>
      </c>
      <c r="U20" s="45">
        <v>0.17513209250458001</v>
      </c>
      <c r="V20" s="45">
        <v>0.17736366898980199</v>
      </c>
      <c r="W20" s="45">
        <v>0.195744133009637</v>
      </c>
      <c r="X20" s="46">
        <v>0.16658162157467299</v>
      </c>
    </row>
    <row r="21" spans="1:24" ht="20.45">
      <c r="A21" s="33" t="s">
        <v>51</v>
      </c>
      <c r="B21" s="34" t="s">
        <v>125</v>
      </c>
      <c r="C21" s="34" t="s">
        <v>813</v>
      </c>
      <c r="D21" s="35" t="s">
        <v>130</v>
      </c>
      <c r="E21" s="36"/>
      <c r="F21" s="37" t="s">
        <v>113</v>
      </c>
      <c r="G21" s="38" t="s">
        <v>111</v>
      </c>
      <c r="H21" s="47">
        <v>0.67605096127060804</v>
      </c>
      <c r="I21" s="45">
        <v>0.67517549215547201</v>
      </c>
      <c r="J21" s="45">
        <v>0.68599401805292204</v>
      </c>
      <c r="K21" s="45">
        <v>0.71132360272530903</v>
      </c>
      <c r="L21" s="45">
        <v>0.66369863867557599</v>
      </c>
      <c r="M21" s="45">
        <v>0.65909119021942597</v>
      </c>
      <c r="N21" s="45">
        <v>0.65618140876771802</v>
      </c>
      <c r="O21" s="45">
        <v>0.69125207584623904</v>
      </c>
      <c r="P21" s="45">
        <v>0.65777778207924997</v>
      </c>
      <c r="Q21" s="45">
        <v>0.653771059222369</v>
      </c>
      <c r="R21" s="45">
        <v>0.64759408715039402</v>
      </c>
      <c r="S21" s="45">
        <v>0.668426183119052</v>
      </c>
      <c r="T21" s="45">
        <v>0.65263756397707196</v>
      </c>
      <c r="U21" s="45">
        <v>0.66468658654623702</v>
      </c>
      <c r="V21" s="45">
        <v>0.67794454365068502</v>
      </c>
      <c r="W21" s="45">
        <v>0.67525564628853096</v>
      </c>
      <c r="X21" s="46">
        <v>0.68577105137447303</v>
      </c>
    </row>
    <row r="22" spans="1:24" ht="20.45">
      <c r="A22" s="33" t="s">
        <v>51</v>
      </c>
      <c r="B22" s="34" t="s">
        <v>125</v>
      </c>
      <c r="C22" s="34" t="s">
        <v>814</v>
      </c>
      <c r="D22" s="35" t="s">
        <v>131</v>
      </c>
      <c r="E22" s="36"/>
      <c r="F22" s="37" t="s">
        <v>113</v>
      </c>
      <c r="G22" s="38" t="s">
        <v>111</v>
      </c>
      <c r="H22" s="47">
        <v>0.142338926606104</v>
      </c>
      <c r="I22" s="45">
        <v>0.13184191863838601</v>
      </c>
      <c r="J22" s="45">
        <v>9.6910949786202599E-2</v>
      </c>
      <c r="K22" s="45">
        <v>9.1997174984767102E-2</v>
      </c>
      <c r="L22" s="45">
        <v>0.129145058342475</v>
      </c>
      <c r="M22" s="45">
        <v>0.150512834641331</v>
      </c>
      <c r="N22" s="45">
        <v>0.171481144181405</v>
      </c>
      <c r="O22" s="45">
        <v>0.12900608222357901</v>
      </c>
      <c r="P22" s="45">
        <v>0.15970860537456</v>
      </c>
      <c r="Q22" s="45">
        <v>0.16219559485688501</v>
      </c>
      <c r="R22" s="45">
        <v>0.17943750047721199</v>
      </c>
      <c r="S22" s="45">
        <v>0.15411660601816099</v>
      </c>
      <c r="T22" s="45">
        <v>0.16012078176071901</v>
      </c>
      <c r="U22" s="45">
        <v>0.160181320949183</v>
      </c>
      <c r="V22" s="45">
        <v>0.14469178735951299</v>
      </c>
      <c r="W22" s="45">
        <v>0.12900022070183201</v>
      </c>
      <c r="X22" s="46">
        <v>0.14764732705085301</v>
      </c>
    </row>
    <row r="23" spans="1:24" ht="20.45">
      <c r="A23" s="33" t="s">
        <v>51</v>
      </c>
      <c r="B23" s="34" t="s">
        <v>132</v>
      </c>
      <c r="C23" s="34" t="s">
        <v>815</v>
      </c>
      <c r="D23" s="35" t="s">
        <v>133</v>
      </c>
      <c r="E23" s="36">
        <v>2025</v>
      </c>
      <c r="F23" s="37" t="s">
        <v>134</v>
      </c>
      <c r="G23" s="38" t="s">
        <v>135</v>
      </c>
      <c r="H23" s="39">
        <v>79</v>
      </c>
      <c r="I23" s="40">
        <v>78.900000000000006</v>
      </c>
      <c r="J23" s="40">
        <v>79.3</v>
      </c>
      <c r="K23" s="40">
        <v>77.5</v>
      </c>
      <c r="L23" s="40">
        <v>79</v>
      </c>
      <c r="M23" s="40">
        <v>80</v>
      </c>
      <c r="N23" s="40">
        <v>79.400000000000006</v>
      </c>
      <c r="O23" s="40">
        <v>79.599999999999994</v>
      </c>
      <c r="P23" s="40">
        <v>79.5</v>
      </c>
      <c r="Q23" s="40">
        <v>79.3</v>
      </c>
      <c r="R23" s="40">
        <v>78.7</v>
      </c>
      <c r="S23" s="40">
        <v>78.900000000000006</v>
      </c>
      <c r="T23" s="40">
        <v>78.5</v>
      </c>
      <c r="U23" s="40">
        <v>77.8</v>
      </c>
      <c r="V23" s="40">
        <v>78.400000000000006</v>
      </c>
      <c r="W23" s="40">
        <v>78.3</v>
      </c>
      <c r="X23" s="41">
        <v>78.599999999999994</v>
      </c>
    </row>
    <row r="24" spans="1:24" ht="20.45">
      <c r="A24" s="33" t="s">
        <v>51</v>
      </c>
      <c r="B24" s="34" t="s">
        <v>132</v>
      </c>
      <c r="C24" s="34" t="s">
        <v>816</v>
      </c>
      <c r="D24" s="35" t="s">
        <v>136</v>
      </c>
      <c r="E24" s="36">
        <v>2025</v>
      </c>
      <c r="F24" s="37" t="s">
        <v>134</v>
      </c>
      <c r="G24" s="38" t="s">
        <v>135</v>
      </c>
      <c r="H24" s="39">
        <v>85</v>
      </c>
      <c r="I24" s="40">
        <v>84.1</v>
      </c>
      <c r="J24" s="40">
        <v>84.1</v>
      </c>
      <c r="K24" s="40">
        <v>82.7</v>
      </c>
      <c r="L24" s="40">
        <v>84.3</v>
      </c>
      <c r="M24" s="40">
        <v>85.2</v>
      </c>
      <c r="N24" s="40">
        <v>84.6</v>
      </c>
      <c r="O24" s="40">
        <v>84.9</v>
      </c>
      <c r="P24" s="40">
        <v>84.4</v>
      </c>
      <c r="Q24" s="40">
        <v>84.3</v>
      </c>
      <c r="R24" s="40">
        <v>84.3</v>
      </c>
      <c r="S24" s="40">
        <v>84.4</v>
      </c>
      <c r="T24" s="40">
        <v>84</v>
      </c>
      <c r="U24" s="40">
        <v>84.3</v>
      </c>
      <c r="V24" s="40">
        <v>84</v>
      </c>
      <c r="W24" s="40">
        <v>85.4</v>
      </c>
      <c r="X24" s="41">
        <v>83.7</v>
      </c>
    </row>
    <row r="25" spans="1:24" ht="20.45">
      <c r="A25" s="33" t="s">
        <v>51</v>
      </c>
      <c r="B25" s="34" t="s">
        <v>132</v>
      </c>
      <c r="C25" s="34" t="s">
        <v>817</v>
      </c>
      <c r="D25" s="35" t="s">
        <v>137</v>
      </c>
      <c r="E25" s="36">
        <v>2002</v>
      </c>
      <c r="F25" s="37" t="s">
        <v>134</v>
      </c>
      <c r="G25" s="38" t="s">
        <v>135</v>
      </c>
      <c r="H25" s="39">
        <v>74</v>
      </c>
      <c r="I25" s="40">
        <v>74.099999999999994</v>
      </c>
      <c r="J25" s="40">
        <v>73.599999999999994</v>
      </c>
      <c r="K25" s="40">
        <v>72.3</v>
      </c>
      <c r="L25" s="40">
        <v>75</v>
      </c>
      <c r="M25" s="40">
        <v>76.3</v>
      </c>
      <c r="N25" s="40">
        <v>74.400000000000006</v>
      </c>
      <c r="O25" s="40">
        <v>75</v>
      </c>
      <c r="P25" s="40">
        <v>73.7</v>
      </c>
      <c r="Q25" s="40">
        <v>73.2</v>
      </c>
      <c r="R25" s="40">
        <v>72.3</v>
      </c>
      <c r="S25" s="40">
        <v>73.400000000000006</v>
      </c>
      <c r="T25" s="40">
        <v>73.099999999999994</v>
      </c>
      <c r="U25" s="40">
        <v>73.3</v>
      </c>
      <c r="V25" s="40">
        <v>72.2</v>
      </c>
      <c r="W25" s="40">
        <v>72.8</v>
      </c>
      <c r="X25" s="41">
        <v>72.099999999999994</v>
      </c>
    </row>
    <row r="26" spans="1:24" ht="20.45">
      <c r="A26" s="33" t="s">
        <v>51</v>
      </c>
      <c r="B26" s="34" t="s">
        <v>132</v>
      </c>
      <c r="C26" s="34" t="s">
        <v>818</v>
      </c>
      <c r="D26" s="35" t="s">
        <v>138</v>
      </c>
      <c r="E26" s="36">
        <v>2002</v>
      </c>
      <c r="F26" s="37" t="s">
        <v>134</v>
      </c>
      <c r="G26" s="38" t="s">
        <v>135</v>
      </c>
      <c r="H26" s="39">
        <v>80</v>
      </c>
      <c r="I26" s="40">
        <v>80.2</v>
      </c>
      <c r="J26" s="40">
        <v>80.2</v>
      </c>
      <c r="K26" s="40">
        <v>78.599999999999994</v>
      </c>
      <c r="L26" s="40">
        <v>80.2</v>
      </c>
      <c r="M26" s="40">
        <v>80.900000000000006</v>
      </c>
      <c r="N26" s="40">
        <v>80.099999999999994</v>
      </c>
      <c r="O26" s="40">
        <v>80.8</v>
      </c>
      <c r="P26" s="40">
        <v>79.400000000000006</v>
      </c>
      <c r="Q26" s="40">
        <v>79.3</v>
      </c>
      <c r="R26" s="40">
        <v>79.3</v>
      </c>
      <c r="S26" s="40">
        <v>79.5</v>
      </c>
      <c r="T26" s="40">
        <v>79.3</v>
      </c>
      <c r="U26" s="40">
        <v>79.5</v>
      </c>
      <c r="V26" s="40">
        <v>79.5</v>
      </c>
      <c r="W26" s="40">
        <v>80.099999999999994</v>
      </c>
      <c r="X26" s="41">
        <v>78.900000000000006</v>
      </c>
    </row>
    <row r="27" spans="1:24" ht="20.45">
      <c r="A27" s="48" t="s">
        <v>51</v>
      </c>
      <c r="B27" s="34" t="s">
        <v>139</v>
      </c>
      <c r="C27" s="34">
        <v>1992</v>
      </c>
      <c r="D27" s="35" t="s">
        <v>140</v>
      </c>
      <c r="E27" s="36">
        <v>1992</v>
      </c>
      <c r="F27" s="37" t="s">
        <v>113</v>
      </c>
      <c r="G27" s="38" t="s">
        <v>141</v>
      </c>
      <c r="H27" s="49">
        <v>8.0000000000000002E-3</v>
      </c>
      <c r="I27" s="50">
        <v>2.5999999999999999E-2</v>
      </c>
      <c r="J27" s="50">
        <v>1.0999999999999999E-2</v>
      </c>
      <c r="K27" s="50">
        <v>7.0000000000000001E-3</v>
      </c>
      <c r="L27" s="50">
        <v>3.0000000000000001E-3</v>
      </c>
      <c r="M27" s="50">
        <v>4.0000000000000001E-3</v>
      </c>
      <c r="N27" s="50">
        <v>8.0000000000000002E-3</v>
      </c>
      <c r="O27" s="50">
        <v>1.2E-2</v>
      </c>
      <c r="P27" s="50">
        <v>3.0000000000000001E-3</v>
      </c>
      <c r="Q27" s="50">
        <v>3.0000000000000001E-3</v>
      </c>
      <c r="R27" s="50">
        <v>2E-3</v>
      </c>
      <c r="S27" s="50">
        <v>3.0000000000000001E-3</v>
      </c>
      <c r="T27" s="50">
        <v>6.0000000000000001E-3</v>
      </c>
      <c r="U27" s="50">
        <v>5.0000000000000001E-3</v>
      </c>
      <c r="V27" s="50">
        <v>6.0000000000000001E-3</v>
      </c>
      <c r="W27" s="50">
        <v>1.2E-2</v>
      </c>
      <c r="X27" s="51">
        <v>1.2999999999999999E-2</v>
      </c>
    </row>
    <row r="28" spans="1:24" ht="20.45">
      <c r="A28" s="33" t="s">
        <v>51</v>
      </c>
      <c r="B28" s="34" t="s">
        <v>139</v>
      </c>
      <c r="C28" s="34">
        <v>2002</v>
      </c>
      <c r="D28" s="35" t="s">
        <v>142</v>
      </c>
      <c r="E28" s="36">
        <v>2002</v>
      </c>
      <c r="F28" s="37" t="s">
        <v>113</v>
      </c>
      <c r="G28" s="38" t="s">
        <v>141</v>
      </c>
      <c r="H28" s="49">
        <v>1.2999999999999999E-2</v>
      </c>
      <c r="I28" s="50">
        <v>3.3000000000000002E-2</v>
      </c>
      <c r="J28" s="50">
        <v>2.9000000000000001E-2</v>
      </c>
      <c r="K28" s="50">
        <v>1.2999999999999999E-2</v>
      </c>
      <c r="L28" s="50">
        <v>5.0000000000000001E-3</v>
      </c>
      <c r="M28" s="50">
        <v>5.0000000000000001E-3</v>
      </c>
      <c r="N28" s="50">
        <v>1.0999999999999999E-2</v>
      </c>
      <c r="O28" s="50">
        <v>1.9E-2</v>
      </c>
      <c r="P28" s="50">
        <v>4.0000000000000001E-3</v>
      </c>
      <c r="Q28" s="50">
        <v>4.0000000000000001E-3</v>
      </c>
      <c r="R28" s="50">
        <v>3.0000000000000001E-3</v>
      </c>
      <c r="S28" s="50">
        <v>4.0000000000000001E-3</v>
      </c>
      <c r="T28" s="50">
        <v>8.9999999999999993E-3</v>
      </c>
      <c r="U28" s="50">
        <v>7.0000000000000001E-3</v>
      </c>
      <c r="V28" s="50">
        <v>8.0000000000000002E-3</v>
      </c>
      <c r="W28" s="50">
        <v>1.6E-2</v>
      </c>
      <c r="X28" s="51">
        <v>1.2999999999999999E-2</v>
      </c>
    </row>
    <row r="29" spans="1:24" ht="20.45">
      <c r="A29" s="33" t="s">
        <v>51</v>
      </c>
      <c r="B29" s="34" t="s">
        <v>139</v>
      </c>
      <c r="C29" s="34">
        <v>2017</v>
      </c>
      <c r="D29" s="35" t="s">
        <v>143</v>
      </c>
      <c r="E29" s="36">
        <v>2017</v>
      </c>
      <c r="F29" s="37" t="s">
        <v>113</v>
      </c>
      <c r="G29" s="38" t="s">
        <v>141</v>
      </c>
      <c r="H29" s="49">
        <v>4.3999999999999997E-2</v>
      </c>
      <c r="I29" s="50">
        <v>8.2000000000000003E-2</v>
      </c>
      <c r="J29" s="50">
        <v>0.13700000000000001</v>
      </c>
      <c r="K29" s="50">
        <v>0.11</v>
      </c>
      <c r="L29" s="50">
        <v>3.1E-2</v>
      </c>
      <c r="M29" s="50">
        <v>0.02</v>
      </c>
      <c r="N29" s="50">
        <v>2.3E-2</v>
      </c>
      <c r="O29" s="50">
        <v>7.0000000000000007E-2</v>
      </c>
      <c r="P29" s="50">
        <v>1.4999999999999999E-2</v>
      </c>
      <c r="Q29" s="50">
        <v>1.0999999999999999E-2</v>
      </c>
      <c r="R29" s="50">
        <v>8.0000000000000002E-3</v>
      </c>
      <c r="S29" s="50">
        <v>8.0000000000000002E-3</v>
      </c>
      <c r="T29" s="50">
        <v>1.0999999999999999E-2</v>
      </c>
      <c r="U29" s="50">
        <v>0.01</v>
      </c>
      <c r="V29" s="50">
        <v>1.2E-2</v>
      </c>
      <c r="W29" s="50">
        <v>2.1000000000000001E-2</v>
      </c>
      <c r="X29" s="51">
        <v>2.9000000000000001E-2</v>
      </c>
    </row>
    <row r="30" spans="1:24" ht="20.45">
      <c r="A30" s="33" t="s">
        <v>51</v>
      </c>
      <c r="B30" s="34" t="s">
        <v>139</v>
      </c>
      <c r="C30" s="34">
        <v>2024</v>
      </c>
      <c r="D30" s="35" t="s">
        <v>144</v>
      </c>
      <c r="E30" s="36">
        <v>2024</v>
      </c>
      <c r="F30" s="37" t="s">
        <v>113</v>
      </c>
      <c r="G30" s="38" t="s">
        <v>141</v>
      </c>
      <c r="H30" s="49">
        <v>8.7999999999999995E-2</v>
      </c>
      <c r="I30" s="50">
        <v>0.14899999999999999</v>
      </c>
      <c r="J30" s="50">
        <v>0.23200000000000001</v>
      </c>
      <c r="K30" s="50">
        <v>0.19700000000000001</v>
      </c>
      <c r="L30" s="50">
        <v>8.5000000000000006E-2</v>
      </c>
      <c r="M30" s="50">
        <v>5.3999999999999999E-2</v>
      </c>
      <c r="N30" s="50">
        <v>5.2999999999999999E-2</v>
      </c>
      <c r="O30" s="50">
        <v>0.13100000000000001</v>
      </c>
      <c r="P30" s="50">
        <v>0.05</v>
      </c>
      <c r="Q30" s="50">
        <v>3.7999999999999999E-2</v>
      </c>
      <c r="R30" s="50">
        <v>2.1000000000000001E-2</v>
      </c>
      <c r="S30" s="50">
        <v>2.9000000000000001E-2</v>
      </c>
      <c r="T30" s="50">
        <v>2.1000000000000001E-2</v>
      </c>
      <c r="U30" s="50">
        <v>1.9E-2</v>
      </c>
      <c r="V30" s="50">
        <v>0.04</v>
      </c>
      <c r="W30" s="50">
        <v>3.9E-2</v>
      </c>
      <c r="X30" s="51">
        <v>6.6000000000000003E-2</v>
      </c>
    </row>
    <row r="31" spans="1:24" ht="39.6">
      <c r="A31" s="33" t="s">
        <v>51</v>
      </c>
      <c r="B31" s="34" t="s">
        <v>139</v>
      </c>
      <c r="C31" s="34" t="s">
        <v>819</v>
      </c>
      <c r="D31" s="35" t="s">
        <v>145</v>
      </c>
      <c r="E31" s="36">
        <v>2024</v>
      </c>
      <c r="F31" s="37" t="s">
        <v>104</v>
      </c>
      <c r="G31" s="38" t="s">
        <v>141</v>
      </c>
      <c r="H31" s="49" t="s">
        <v>146</v>
      </c>
      <c r="I31" s="50" t="s">
        <v>820</v>
      </c>
      <c r="J31" s="50" t="s">
        <v>820</v>
      </c>
      <c r="K31" s="50" t="s">
        <v>820</v>
      </c>
      <c r="L31" s="50" t="s">
        <v>820</v>
      </c>
      <c r="M31" s="50" t="s">
        <v>146</v>
      </c>
      <c r="N31" s="50" t="s">
        <v>146</v>
      </c>
      <c r="O31" s="50" t="s">
        <v>146</v>
      </c>
      <c r="P31" s="50" t="s">
        <v>146</v>
      </c>
      <c r="Q31" s="50" t="s">
        <v>146</v>
      </c>
      <c r="R31" s="50" t="s">
        <v>146</v>
      </c>
      <c r="S31" s="50" t="s">
        <v>146</v>
      </c>
      <c r="T31" s="50" t="s">
        <v>146</v>
      </c>
      <c r="U31" s="50" t="s">
        <v>146</v>
      </c>
      <c r="V31" s="50" t="s">
        <v>146</v>
      </c>
      <c r="W31" s="50" t="s">
        <v>821</v>
      </c>
      <c r="X31" s="51" t="s">
        <v>146</v>
      </c>
    </row>
    <row r="32" spans="1:24" ht="39.6">
      <c r="A32" s="33" t="s">
        <v>51</v>
      </c>
      <c r="B32" s="34" t="s">
        <v>147</v>
      </c>
      <c r="C32" s="34" t="s">
        <v>822</v>
      </c>
      <c r="D32" s="35" t="s">
        <v>148</v>
      </c>
      <c r="E32" s="36">
        <v>2023</v>
      </c>
      <c r="F32" s="37" t="s">
        <v>110</v>
      </c>
      <c r="G32" s="38" t="s">
        <v>149</v>
      </c>
      <c r="H32" s="42">
        <v>1136104</v>
      </c>
      <c r="I32" s="43">
        <v>17907</v>
      </c>
      <c r="J32" s="43">
        <v>41034</v>
      </c>
      <c r="K32" s="43">
        <v>62508</v>
      </c>
      <c r="L32" s="43">
        <v>18113</v>
      </c>
      <c r="M32" s="43">
        <v>33696</v>
      </c>
      <c r="N32" s="43">
        <v>81226</v>
      </c>
      <c r="O32" s="43">
        <v>575813</v>
      </c>
      <c r="P32" s="43">
        <v>46671</v>
      </c>
      <c r="Q32" s="43">
        <v>41952</v>
      </c>
      <c r="R32" s="43">
        <v>10510</v>
      </c>
      <c r="S32" s="43">
        <v>38040</v>
      </c>
      <c r="T32" s="43">
        <v>14286</v>
      </c>
      <c r="U32" s="43">
        <v>5522</v>
      </c>
      <c r="V32" s="43">
        <v>27431</v>
      </c>
      <c r="W32" s="43">
        <v>2430</v>
      </c>
      <c r="X32" s="44">
        <v>7262</v>
      </c>
    </row>
    <row r="33" spans="1:24" ht="39.6">
      <c r="A33" s="33" t="s">
        <v>51</v>
      </c>
      <c r="B33" s="34" t="s">
        <v>147</v>
      </c>
      <c r="C33" s="34" t="s">
        <v>823</v>
      </c>
      <c r="D33" s="35" t="s">
        <v>150</v>
      </c>
      <c r="E33" s="36">
        <v>2023</v>
      </c>
      <c r="F33" s="37" t="s">
        <v>113</v>
      </c>
      <c r="G33" s="38" t="s">
        <v>149</v>
      </c>
      <c r="H33" s="47">
        <v>5.6223419730822399E-2</v>
      </c>
      <c r="I33" s="45">
        <v>6.7910060033297096E-2</v>
      </c>
      <c r="J33" s="45">
        <v>9.9862984694684603E-2</v>
      </c>
      <c r="K33" s="45">
        <v>8.6561790284163304E-2</v>
      </c>
      <c r="L33" s="45">
        <v>5.6450708088162001E-2</v>
      </c>
      <c r="M33" s="45">
        <v>3.7891626081079703E-2</v>
      </c>
      <c r="N33" s="45">
        <v>3.9813426946630801E-2</v>
      </c>
      <c r="O33" s="45">
        <v>6.7972661394241504E-2</v>
      </c>
      <c r="P33" s="45">
        <v>4.5169651135556398E-2</v>
      </c>
      <c r="Q33" s="45">
        <v>3.5520212958713798E-2</v>
      </c>
      <c r="R33" s="45">
        <v>2.0061999404439201E-2</v>
      </c>
      <c r="S33" s="45">
        <v>2.25006743104289E-2</v>
      </c>
      <c r="T33" s="45">
        <v>1.37906668288417E-2</v>
      </c>
      <c r="U33" s="45">
        <v>1.33287311154183E-2</v>
      </c>
      <c r="V33" s="45">
        <v>2.9922953657655901E-2</v>
      </c>
      <c r="W33" s="45">
        <v>2.23460604723019E-2</v>
      </c>
      <c r="X33" s="46">
        <v>3.9421114344030901E-2</v>
      </c>
    </row>
    <row r="34" spans="1:24" ht="39.6">
      <c r="A34" s="33" t="s">
        <v>51</v>
      </c>
      <c r="B34" s="34" t="s">
        <v>147</v>
      </c>
      <c r="C34" s="34" t="s">
        <v>824</v>
      </c>
      <c r="D34" s="35" t="s">
        <v>151</v>
      </c>
      <c r="E34" s="36">
        <v>2023</v>
      </c>
      <c r="F34" s="37" t="s">
        <v>110</v>
      </c>
      <c r="G34" s="38" t="s">
        <v>149</v>
      </c>
      <c r="H34" s="42">
        <v>336984</v>
      </c>
      <c r="I34" s="43">
        <v>5381</v>
      </c>
      <c r="J34" s="43">
        <v>8445</v>
      </c>
      <c r="K34" s="43">
        <v>13664</v>
      </c>
      <c r="L34" s="43">
        <v>5155</v>
      </c>
      <c r="M34" s="43">
        <v>11377</v>
      </c>
      <c r="N34" s="43">
        <v>23162</v>
      </c>
      <c r="O34" s="43">
        <v>145163</v>
      </c>
      <c r="P34" s="43">
        <v>11877</v>
      </c>
      <c r="Q34" s="43">
        <v>11120</v>
      </c>
      <c r="R34" s="43">
        <v>1717</v>
      </c>
      <c r="S34" s="43">
        <v>13172</v>
      </c>
      <c r="T34" s="43">
        <v>2938</v>
      </c>
      <c r="U34" s="43">
        <v>917</v>
      </c>
      <c r="V34" s="43">
        <v>9077</v>
      </c>
      <c r="W34" s="43">
        <v>504</v>
      </c>
      <c r="X34" s="44">
        <v>1137</v>
      </c>
    </row>
    <row r="35" spans="1:24" ht="39.6">
      <c r="A35" s="33" t="s">
        <v>51</v>
      </c>
      <c r="B35" s="34" t="s">
        <v>147</v>
      </c>
      <c r="C35" s="34" t="s">
        <v>825</v>
      </c>
      <c r="D35" s="35" t="s">
        <v>152</v>
      </c>
      <c r="E35" s="36">
        <v>2023</v>
      </c>
      <c r="F35" s="37" t="s">
        <v>110</v>
      </c>
      <c r="G35" s="38" t="s">
        <v>149</v>
      </c>
      <c r="H35" s="42">
        <v>799120</v>
      </c>
      <c r="I35" s="43">
        <v>12526</v>
      </c>
      <c r="J35" s="43">
        <v>32589</v>
      </c>
      <c r="K35" s="43">
        <v>48844</v>
      </c>
      <c r="L35" s="43">
        <v>12958</v>
      </c>
      <c r="M35" s="43">
        <v>22319</v>
      </c>
      <c r="N35" s="43">
        <v>58064</v>
      </c>
      <c r="O35" s="43">
        <v>430650</v>
      </c>
      <c r="P35" s="43">
        <v>34794</v>
      </c>
      <c r="Q35" s="43">
        <v>30832</v>
      </c>
      <c r="R35" s="43">
        <v>8793</v>
      </c>
      <c r="S35" s="43">
        <v>24868</v>
      </c>
      <c r="T35" s="43">
        <v>11348</v>
      </c>
      <c r="U35" s="43">
        <v>4605</v>
      </c>
      <c r="V35" s="43">
        <v>18354</v>
      </c>
      <c r="W35" s="43">
        <v>1926</v>
      </c>
      <c r="X35" s="44">
        <v>6125</v>
      </c>
    </row>
    <row r="36" spans="1:24" ht="39.6">
      <c r="A36" s="33" t="s">
        <v>51</v>
      </c>
      <c r="B36" s="34" t="s">
        <v>147</v>
      </c>
      <c r="C36" s="34" t="s">
        <v>826</v>
      </c>
      <c r="D36" s="35" t="s">
        <v>153</v>
      </c>
      <c r="E36" s="36">
        <v>2023</v>
      </c>
      <c r="F36" s="37" t="s">
        <v>113</v>
      </c>
      <c r="G36" s="38" t="s">
        <v>149</v>
      </c>
      <c r="H36" s="47"/>
      <c r="I36" s="45">
        <v>1.59681171806377E-2</v>
      </c>
      <c r="J36" s="45">
        <v>2.5060536998789299E-2</v>
      </c>
      <c r="K36" s="45">
        <v>4.0547919189041597E-2</v>
      </c>
      <c r="L36" s="45">
        <v>1.5297462194050799E-2</v>
      </c>
      <c r="M36" s="45">
        <v>3.3761246824775097E-2</v>
      </c>
      <c r="N36" s="45">
        <v>6.8733233625335302E-2</v>
      </c>
      <c r="O36" s="45">
        <v>0.43077119388457602</v>
      </c>
      <c r="P36" s="45">
        <v>3.5244996795100098E-2</v>
      </c>
      <c r="Q36" s="45">
        <v>3.2998599340028002E-2</v>
      </c>
      <c r="R36" s="45">
        <v>5.0951973980960501E-3</v>
      </c>
      <c r="S36" s="45">
        <v>3.9087909218241797E-2</v>
      </c>
      <c r="T36" s="45">
        <v>8.7185148256297001E-3</v>
      </c>
      <c r="U36" s="45">
        <v>2.7211974455760499E-3</v>
      </c>
      <c r="V36" s="45">
        <v>2.6935996961280101E-2</v>
      </c>
      <c r="W36" s="45">
        <v>1.4956199700876E-3</v>
      </c>
      <c r="X36" s="46">
        <v>3.3740474325190499E-3</v>
      </c>
    </row>
    <row r="37" spans="1:24" ht="39.6">
      <c r="A37" s="33" t="s">
        <v>51</v>
      </c>
      <c r="B37" s="34" t="s">
        <v>147</v>
      </c>
      <c r="C37" s="34" t="s">
        <v>827</v>
      </c>
      <c r="D37" s="35" t="s">
        <v>154</v>
      </c>
      <c r="E37" s="36">
        <v>2023</v>
      </c>
      <c r="F37" s="37" t="s">
        <v>113</v>
      </c>
      <c r="G37" s="38" t="s">
        <v>149</v>
      </c>
      <c r="H37" s="47"/>
      <c r="I37" s="45">
        <v>1.5674742216438099E-2</v>
      </c>
      <c r="J37" s="45">
        <v>4.0781109220142199E-2</v>
      </c>
      <c r="K37" s="45">
        <v>6.1122234457903699E-2</v>
      </c>
      <c r="L37" s="45">
        <v>1.6215336870557599E-2</v>
      </c>
      <c r="M37" s="45">
        <v>2.7929472419661601E-2</v>
      </c>
      <c r="N37" s="45">
        <v>7.2659925918510407E-2</v>
      </c>
      <c r="O37" s="45">
        <v>0.53890529582540803</v>
      </c>
      <c r="P37" s="45">
        <v>4.3540394433877298E-2</v>
      </c>
      <c r="Q37" s="45">
        <v>3.8582440684753201E-2</v>
      </c>
      <c r="R37" s="45">
        <v>1.1003353689058E-2</v>
      </c>
      <c r="S37" s="45">
        <v>3.1119231154269698E-2</v>
      </c>
      <c r="T37" s="45">
        <v>1.4200620682751E-2</v>
      </c>
      <c r="U37" s="45">
        <v>5.76258884773251E-3</v>
      </c>
      <c r="V37" s="45">
        <v>2.2967764540995101E-2</v>
      </c>
      <c r="W37" s="45">
        <v>2.4101511662829099E-3</v>
      </c>
      <c r="X37" s="46">
        <v>7.66468114926419E-3</v>
      </c>
    </row>
    <row r="38" spans="1:24" ht="20.45">
      <c r="A38" s="33" t="s">
        <v>51</v>
      </c>
      <c r="B38" s="34" t="s">
        <v>155</v>
      </c>
      <c r="C38" s="34" t="s">
        <v>155</v>
      </c>
      <c r="D38" s="35" t="s">
        <v>156</v>
      </c>
      <c r="E38" s="36">
        <v>2024</v>
      </c>
      <c r="F38" s="37" t="s">
        <v>110</v>
      </c>
      <c r="G38" s="38" t="s">
        <v>141</v>
      </c>
      <c r="H38" s="42">
        <v>2105863</v>
      </c>
      <c r="I38" s="43">
        <v>87816</v>
      </c>
      <c r="J38" s="43">
        <v>89987</v>
      </c>
      <c r="K38" s="43">
        <v>91280</v>
      </c>
      <c r="L38" s="43">
        <v>76616</v>
      </c>
      <c r="M38" s="43">
        <v>92753</v>
      </c>
      <c r="N38" s="43">
        <v>103716</v>
      </c>
      <c r="O38" s="43">
        <v>545700</v>
      </c>
      <c r="P38" s="43">
        <v>50681</v>
      </c>
      <c r="Q38" s="43">
        <v>47811</v>
      </c>
      <c r="R38" s="43">
        <v>20145</v>
      </c>
      <c r="S38" s="43">
        <v>150917</v>
      </c>
      <c r="T38" s="43">
        <v>347285</v>
      </c>
      <c r="U38" s="43">
        <v>96382</v>
      </c>
      <c r="V38" s="43">
        <v>236886</v>
      </c>
      <c r="W38" s="43">
        <v>29230</v>
      </c>
      <c r="X38" s="44">
        <v>38658</v>
      </c>
    </row>
    <row r="39" spans="1:24" ht="40.9">
      <c r="A39" s="33" t="s">
        <v>51</v>
      </c>
      <c r="B39" s="34" t="s">
        <v>155</v>
      </c>
      <c r="C39" s="34" t="s">
        <v>828</v>
      </c>
      <c r="D39" s="35" t="s">
        <v>157</v>
      </c>
      <c r="E39" s="36">
        <v>2024</v>
      </c>
      <c r="F39" s="37" t="s">
        <v>113</v>
      </c>
      <c r="G39" s="38" t="s">
        <v>141</v>
      </c>
      <c r="H39" s="47">
        <v>0.115</v>
      </c>
      <c r="I39" s="45">
        <v>0.36199999999999999</v>
      </c>
      <c r="J39" s="45">
        <v>0.245</v>
      </c>
      <c r="K39" s="45">
        <v>0.14499999999999999</v>
      </c>
      <c r="L39" s="45">
        <v>0.25800000000000001</v>
      </c>
      <c r="M39" s="45">
        <v>0.112</v>
      </c>
      <c r="N39" s="45">
        <v>5.5E-2</v>
      </c>
      <c r="O39" s="45">
        <v>7.3999999999999996E-2</v>
      </c>
      <c r="P39" s="45">
        <v>5.1999999999999998E-2</v>
      </c>
      <c r="Q39" s="45">
        <v>4.2999999999999997E-2</v>
      </c>
      <c r="R39" s="45">
        <v>3.9E-2</v>
      </c>
      <c r="S39" s="45">
        <v>9.4E-2</v>
      </c>
      <c r="T39" s="45">
        <v>0.34499999999999997</v>
      </c>
      <c r="U39" s="45">
        <v>0.24299999999999999</v>
      </c>
      <c r="V39" s="45">
        <v>0.26700000000000002</v>
      </c>
      <c r="W39" s="45">
        <v>0.29199999999999998</v>
      </c>
      <c r="X39" s="46">
        <v>0.23400000000000001</v>
      </c>
    </row>
    <row r="40" spans="1:24" ht="20.45">
      <c r="A40" s="33" t="s">
        <v>51</v>
      </c>
      <c r="B40" s="34" t="s">
        <v>158</v>
      </c>
      <c r="C40" s="34" t="s">
        <v>829</v>
      </c>
      <c r="D40" s="35" t="s">
        <v>159</v>
      </c>
      <c r="E40" s="36">
        <v>2024</v>
      </c>
      <c r="F40" s="37" t="s">
        <v>113</v>
      </c>
      <c r="G40" s="38" t="s">
        <v>141</v>
      </c>
      <c r="H40" s="49">
        <v>0.111</v>
      </c>
      <c r="I40" s="50">
        <v>0.104</v>
      </c>
      <c r="J40" s="50">
        <v>9.5000000000000001E-2</v>
      </c>
      <c r="K40" s="50">
        <v>8.3000000000000004E-2</v>
      </c>
      <c r="L40" s="50">
        <v>0.10299999999999999</v>
      </c>
      <c r="M40" s="50">
        <v>0.11</v>
      </c>
      <c r="N40" s="50">
        <v>0.11700000000000001</v>
      </c>
      <c r="O40" s="50">
        <v>9.9000000000000005E-2</v>
      </c>
      <c r="P40" s="50">
        <v>0.126</v>
      </c>
      <c r="Q40" s="50">
        <v>0.13100000000000001</v>
      </c>
      <c r="R40" s="50">
        <v>0.153</v>
      </c>
      <c r="S40" s="50">
        <v>0.13</v>
      </c>
      <c r="T40" s="50">
        <v>0.13300000000000001</v>
      </c>
      <c r="U40" s="50">
        <v>0.122</v>
      </c>
      <c r="V40" s="50">
        <v>0.111</v>
      </c>
      <c r="W40" s="50">
        <v>0.108</v>
      </c>
      <c r="X40" s="51">
        <v>9.2999999999999999E-2</v>
      </c>
    </row>
    <row r="41" spans="1:24" ht="40.9">
      <c r="A41" s="33" t="s">
        <v>51</v>
      </c>
      <c r="B41" s="34" t="s">
        <v>158</v>
      </c>
      <c r="C41" s="34" t="s">
        <v>830</v>
      </c>
      <c r="D41" s="35" t="s">
        <v>160</v>
      </c>
      <c r="E41" s="36">
        <v>2024</v>
      </c>
      <c r="F41" s="37" t="s">
        <v>113</v>
      </c>
      <c r="G41" s="38" t="s">
        <v>141</v>
      </c>
      <c r="H41" s="49">
        <v>1E-3</v>
      </c>
      <c r="I41" s="50">
        <v>5.0000000000000001E-3</v>
      </c>
      <c r="J41" s="50">
        <v>5.0000000000000001E-3</v>
      </c>
      <c r="K41" s="50">
        <v>2E-3</v>
      </c>
      <c r="L41" s="50">
        <v>2E-3</v>
      </c>
      <c r="M41" s="50">
        <v>1E-3</v>
      </c>
      <c r="N41" s="50">
        <v>1E-3</v>
      </c>
      <c r="O41" s="50">
        <v>1E-3</v>
      </c>
      <c r="P41" s="50">
        <v>1E-3</v>
      </c>
      <c r="Q41" s="50">
        <v>1E-3</v>
      </c>
      <c r="R41" s="50">
        <v>5.0000000000000001E-4</v>
      </c>
      <c r="S41" s="50">
        <v>1E-3</v>
      </c>
      <c r="T41" s="50">
        <v>2.9999999999999997E-4</v>
      </c>
      <c r="U41" s="50">
        <v>1E-3</v>
      </c>
      <c r="V41" s="50">
        <v>1E-3</v>
      </c>
      <c r="W41" s="50">
        <v>1E-3</v>
      </c>
      <c r="X41" s="51">
        <v>1E-3</v>
      </c>
    </row>
    <row r="42" spans="1:24" ht="20.45">
      <c r="A42" s="33" t="s">
        <v>51</v>
      </c>
      <c r="B42" s="34" t="s">
        <v>158</v>
      </c>
      <c r="C42" s="34" t="s">
        <v>831</v>
      </c>
      <c r="D42" s="35" t="s">
        <v>161</v>
      </c>
      <c r="E42" s="36">
        <v>2024</v>
      </c>
      <c r="F42" s="37" t="s">
        <v>113</v>
      </c>
      <c r="G42" s="38" t="s">
        <v>141</v>
      </c>
      <c r="H42" s="49">
        <v>4.0000000000000001E-3</v>
      </c>
      <c r="I42" s="50">
        <v>4.0000000000000001E-3</v>
      </c>
      <c r="J42" s="50">
        <v>5.0000000000000001E-3</v>
      </c>
      <c r="K42" s="50">
        <v>4.0000000000000001E-3</v>
      </c>
      <c r="L42" s="50">
        <v>3.0000000000000001E-3</v>
      </c>
      <c r="M42" s="50">
        <v>3.0000000000000001E-3</v>
      </c>
      <c r="N42" s="50">
        <v>3.0000000000000001E-3</v>
      </c>
      <c r="O42" s="50">
        <v>4.0000000000000001E-3</v>
      </c>
      <c r="P42" s="50">
        <v>3.0000000000000001E-3</v>
      </c>
      <c r="Q42" s="50">
        <v>3.0000000000000001E-3</v>
      </c>
      <c r="R42" s="50">
        <v>3.0000000000000001E-3</v>
      </c>
      <c r="S42" s="50">
        <v>3.0000000000000001E-3</v>
      </c>
      <c r="T42" s="50">
        <v>3.0000000000000001E-3</v>
      </c>
      <c r="U42" s="50">
        <v>3.0000000000000001E-3</v>
      </c>
      <c r="V42" s="50">
        <v>3.0000000000000001E-3</v>
      </c>
      <c r="W42" s="50">
        <v>2E-3</v>
      </c>
      <c r="X42" s="51">
        <v>3.0000000000000001E-3</v>
      </c>
    </row>
    <row r="43" spans="1:24" ht="20.45">
      <c r="A43" s="33" t="s">
        <v>51</v>
      </c>
      <c r="B43" s="34" t="s">
        <v>162</v>
      </c>
      <c r="C43" s="34" t="s">
        <v>163</v>
      </c>
      <c r="D43" s="35" t="s">
        <v>163</v>
      </c>
      <c r="E43" s="36">
        <v>2025</v>
      </c>
      <c r="F43" s="37" t="s">
        <v>162</v>
      </c>
      <c r="G43" s="38" t="s">
        <v>164</v>
      </c>
      <c r="H43" s="42">
        <v>146446</v>
      </c>
      <c r="I43" s="43">
        <v>2183</v>
      </c>
      <c r="J43" s="43">
        <v>4326</v>
      </c>
      <c r="K43" s="43">
        <v>6252</v>
      </c>
      <c r="L43" s="43">
        <v>2652</v>
      </c>
      <c r="M43" s="43">
        <v>6347</v>
      </c>
      <c r="N43" s="43">
        <v>13822</v>
      </c>
      <c r="O43" s="43">
        <v>58186</v>
      </c>
      <c r="P43" s="43">
        <v>7944</v>
      </c>
      <c r="Q43" s="43">
        <v>8884</v>
      </c>
      <c r="R43" s="43">
        <v>3846</v>
      </c>
      <c r="S43" s="43">
        <v>11929</v>
      </c>
      <c r="T43" s="43">
        <v>8150</v>
      </c>
      <c r="U43" s="43">
        <v>2984</v>
      </c>
      <c r="V43" s="43">
        <v>6957</v>
      </c>
      <c r="W43" s="43">
        <v>752</v>
      </c>
      <c r="X43" s="44">
        <v>1232</v>
      </c>
    </row>
    <row r="44" spans="1:24" ht="20.45">
      <c r="A44" s="33" t="s">
        <v>51</v>
      </c>
      <c r="B44" s="34" t="s">
        <v>162</v>
      </c>
      <c r="C44" s="34" t="s">
        <v>832</v>
      </c>
      <c r="D44" s="35" t="s">
        <v>165</v>
      </c>
      <c r="E44" s="36">
        <v>2025</v>
      </c>
      <c r="F44" s="37" t="s">
        <v>113</v>
      </c>
      <c r="G44" s="38" t="s">
        <v>164</v>
      </c>
      <c r="H44" s="42"/>
      <c r="I44" s="45">
        <v>1.49065184436584E-2</v>
      </c>
      <c r="J44" s="45">
        <v>2.9539898665719801E-2</v>
      </c>
      <c r="K44" s="45">
        <v>4.2691504035617202E-2</v>
      </c>
      <c r="L44" s="45">
        <v>1.81090640918837E-2</v>
      </c>
      <c r="M44" s="45">
        <v>4.3340207311910198E-2</v>
      </c>
      <c r="N44" s="45">
        <v>9.4382912472856906E-2</v>
      </c>
      <c r="O44" s="45">
        <v>0.397320514046133</v>
      </c>
      <c r="P44" s="45">
        <v>5.4245250809172002E-2</v>
      </c>
      <c r="Q44" s="45">
        <v>6.06639990167024E-2</v>
      </c>
      <c r="R44" s="45">
        <v>2.6262240006555301E-2</v>
      </c>
      <c r="S44" s="45">
        <v>8.1456646135776994E-2</v>
      </c>
      <c r="T44" s="45">
        <v>5.56519126503967E-2</v>
      </c>
      <c r="U44" s="45">
        <v>2.0376111331139101E-2</v>
      </c>
      <c r="V44" s="45">
        <v>4.7505565191265003E-2</v>
      </c>
      <c r="W44" s="45">
        <v>5.1349985660243402E-3</v>
      </c>
      <c r="X44" s="46">
        <v>8.4126572251888108E-3</v>
      </c>
    </row>
    <row r="45" spans="1:24" ht="20.45">
      <c r="A45" s="33" t="s">
        <v>51</v>
      </c>
      <c r="B45" s="34" t="s">
        <v>162</v>
      </c>
      <c r="C45" s="34" t="s">
        <v>833</v>
      </c>
      <c r="D45" s="35" t="s">
        <v>166</v>
      </c>
      <c r="E45" s="36">
        <v>2025</v>
      </c>
      <c r="F45" s="37" t="s">
        <v>162</v>
      </c>
      <c r="G45" s="38" t="s">
        <v>164</v>
      </c>
      <c r="H45" s="42">
        <v>117593</v>
      </c>
      <c r="I45" s="43">
        <v>1244</v>
      </c>
      <c r="J45" s="43">
        <v>2083</v>
      </c>
      <c r="K45" s="43">
        <v>3357</v>
      </c>
      <c r="L45" s="43">
        <v>2065</v>
      </c>
      <c r="M45" s="43">
        <v>5481</v>
      </c>
      <c r="N45" s="43">
        <v>12115</v>
      </c>
      <c r="O45" s="43">
        <v>43004</v>
      </c>
      <c r="P45" s="43">
        <v>6639</v>
      </c>
      <c r="Q45" s="43">
        <v>7912</v>
      </c>
      <c r="R45" s="43">
        <v>3648</v>
      </c>
      <c r="S45" s="43">
        <v>11134</v>
      </c>
      <c r="T45" s="43">
        <v>7872</v>
      </c>
      <c r="U45" s="43">
        <v>2885</v>
      </c>
      <c r="V45" s="43">
        <v>6401</v>
      </c>
      <c r="W45" s="43">
        <v>708</v>
      </c>
      <c r="X45" s="44">
        <v>1045</v>
      </c>
    </row>
    <row r="46" spans="1:24" ht="20.45">
      <c r="A46" s="33" t="s">
        <v>51</v>
      </c>
      <c r="B46" s="34" t="s">
        <v>162</v>
      </c>
      <c r="C46" s="34" t="s">
        <v>834</v>
      </c>
      <c r="D46" s="35" t="s">
        <v>167</v>
      </c>
      <c r="E46" s="36">
        <v>2025</v>
      </c>
      <c r="F46" s="37" t="s">
        <v>113</v>
      </c>
      <c r="G46" s="38" t="s">
        <v>164</v>
      </c>
      <c r="H46" s="52">
        <v>0.80297857230651604</v>
      </c>
      <c r="I46" s="53">
        <v>0.569857993586807</v>
      </c>
      <c r="J46" s="53">
        <v>0.48150716597318499</v>
      </c>
      <c r="K46" s="53">
        <v>0.53694817658349303</v>
      </c>
      <c r="L46" s="53">
        <v>0.77865761689291102</v>
      </c>
      <c r="M46" s="53">
        <v>0.86355758626122603</v>
      </c>
      <c r="N46" s="53">
        <v>0.87650122992331103</v>
      </c>
      <c r="O46" s="53">
        <v>0.73907812875949497</v>
      </c>
      <c r="P46" s="53">
        <v>0.83572507552870101</v>
      </c>
      <c r="Q46" s="53">
        <v>0.89058982440342205</v>
      </c>
      <c r="R46" s="53">
        <v>0.94851794071762896</v>
      </c>
      <c r="S46" s="53">
        <v>0.93335568781959899</v>
      </c>
      <c r="T46" s="53">
        <v>0.96588957055214697</v>
      </c>
      <c r="U46" s="53">
        <v>0.96682305630026799</v>
      </c>
      <c r="V46" s="53">
        <v>0.92008049446600504</v>
      </c>
      <c r="W46" s="53">
        <v>0.94148936170212805</v>
      </c>
      <c r="X46" s="54">
        <v>0.84821428571428603</v>
      </c>
    </row>
    <row r="47" spans="1:24" ht="20.45">
      <c r="A47" s="33" t="s">
        <v>51</v>
      </c>
      <c r="B47" s="34" t="s">
        <v>162</v>
      </c>
      <c r="C47" s="34" t="s">
        <v>835</v>
      </c>
      <c r="D47" s="35" t="s">
        <v>168</v>
      </c>
      <c r="E47" s="36">
        <v>2025</v>
      </c>
      <c r="F47" s="37" t="s">
        <v>162</v>
      </c>
      <c r="G47" s="38" t="s">
        <v>164</v>
      </c>
      <c r="H47" s="42">
        <v>28853</v>
      </c>
      <c r="I47" s="43">
        <v>939</v>
      </c>
      <c r="J47" s="43">
        <v>2243</v>
      </c>
      <c r="K47" s="43">
        <v>2895</v>
      </c>
      <c r="L47" s="43">
        <v>587</v>
      </c>
      <c r="M47" s="43">
        <v>866</v>
      </c>
      <c r="N47" s="43">
        <v>1707</v>
      </c>
      <c r="O47" s="43">
        <v>15182</v>
      </c>
      <c r="P47" s="43">
        <v>1305</v>
      </c>
      <c r="Q47" s="43">
        <v>972</v>
      </c>
      <c r="R47" s="43">
        <v>198</v>
      </c>
      <c r="S47" s="43">
        <v>795</v>
      </c>
      <c r="T47" s="43">
        <v>278</v>
      </c>
      <c r="U47" s="43">
        <v>99</v>
      </c>
      <c r="V47" s="43">
        <v>556</v>
      </c>
      <c r="W47" s="43">
        <v>44</v>
      </c>
      <c r="X47" s="44">
        <v>187</v>
      </c>
    </row>
    <row r="48" spans="1:24" ht="40.9">
      <c r="A48" s="33" t="s">
        <v>51</v>
      </c>
      <c r="B48" s="34" t="s">
        <v>162</v>
      </c>
      <c r="C48" s="34" t="s">
        <v>834</v>
      </c>
      <c r="D48" s="35" t="s">
        <v>169</v>
      </c>
      <c r="E48" s="36">
        <v>2025</v>
      </c>
      <c r="F48" s="37" t="s">
        <v>113</v>
      </c>
      <c r="G48" s="38" t="s">
        <v>164</v>
      </c>
      <c r="H48" s="52">
        <v>0.19702142769348399</v>
      </c>
      <c r="I48" s="53">
        <v>0.430142006413193</v>
      </c>
      <c r="J48" s="53">
        <v>0.51849283402681501</v>
      </c>
      <c r="K48" s="53">
        <v>0.46305182341650702</v>
      </c>
      <c r="L48" s="53">
        <v>0.22134238310708901</v>
      </c>
      <c r="M48" s="53">
        <v>0.136442413738774</v>
      </c>
      <c r="N48" s="53">
        <v>0.123498770076689</v>
      </c>
      <c r="O48" s="53">
        <v>0.26092187124050498</v>
      </c>
      <c r="P48" s="53">
        <v>0.16427492447129899</v>
      </c>
      <c r="Q48" s="53">
        <v>0.10941017559657799</v>
      </c>
      <c r="R48" s="53">
        <v>5.1482059282371297E-2</v>
      </c>
      <c r="S48" s="53">
        <v>6.6644312180400705E-2</v>
      </c>
      <c r="T48" s="53">
        <v>3.4110429447852801E-2</v>
      </c>
      <c r="U48" s="53">
        <v>3.3176943699731898E-2</v>
      </c>
      <c r="V48" s="53">
        <v>7.9919505533994503E-2</v>
      </c>
      <c r="W48" s="53">
        <v>5.85106382978723E-2</v>
      </c>
      <c r="X48" s="54">
        <v>0.151785714285714</v>
      </c>
    </row>
    <row r="49" spans="1:24" ht="20.45">
      <c r="A49" s="33" t="s">
        <v>51</v>
      </c>
      <c r="B49" s="34" t="s">
        <v>162</v>
      </c>
      <c r="C49" s="34" t="s">
        <v>170</v>
      </c>
      <c r="D49" s="35" t="s">
        <v>170</v>
      </c>
      <c r="E49" s="36">
        <v>2024</v>
      </c>
      <c r="F49" s="37" t="s">
        <v>162</v>
      </c>
      <c r="G49" s="38" t="s">
        <v>164</v>
      </c>
      <c r="H49" s="42">
        <v>154441</v>
      </c>
      <c r="I49" s="43">
        <v>2371</v>
      </c>
      <c r="J49" s="43">
        <v>4246</v>
      </c>
      <c r="K49" s="43">
        <v>6350</v>
      </c>
      <c r="L49" s="43">
        <v>2845</v>
      </c>
      <c r="M49" s="43">
        <v>6683</v>
      </c>
      <c r="N49" s="43">
        <v>14761</v>
      </c>
      <c r="O49" s="43">
        <v>60996</v>
      </c>
      <c r="P49" s="43">
        <v>8289</v>
      </c>
      <c r="Q49" s="43">
        <v>9341</v>
      </c>
      <c r="R49" s="43">
        <v>4124</v>
      </c>
      <c r="S49" s="43">
        <v>13045</v>
      </c>
      <c r="T49" s="43">
        <v>8653</v>
      </c>
      <c r="U49" s="43">
        <v>3199</v>
      </c>
      <c r="V49" s="43">
        <v>7481</v>
      </c>
      <c r="W49" s="43">
        <v>803</v>
      </c>
      <c r="X49" s="44">
        <v>1254</v>
      </c>
    </row>
    <row r="50" spans="1:24" ht="20.45">
      <c r="A50" s="33" t="s">
        <v>51</v>
      </c>
      <c r="B50" s="34" t="s">
        <v>162</v>
      </c>
      <c r="C50" s="34" t="s">
        <v>171</v>
      </c>
      <c r="D50" s="35" t="s">
        <v>171</v>
      </c>
      <c r="E50" s="36">
        <v>2023</v>
      </c>
      <c r="F50" s="37" t="s">
        <v>162</v>
      </c>
      <c r="G50" s="38" t="s">
        <v>164</v>
      </c>
      <c r="H50" s="42">
        <v>171992</v>
      </c>
      <c r="I50" s="43">
        <v>2709</v>
      </c>
      <c r="J50" s="43">
        <v>4580</v>
      </c>
      <c r="K50" s="43">
        <v>6903</v>
      </c>
      <c r="L50" s="43">
        <v>3069</v>
      </c>
      <c r="M50" s="43">
        <v>7385</v>
      </c>
      <c r="N50" s="43">
        <v>16675</v>
      </c>
      <c r="O50" s="43">
        <v>68111</v>
      </c>
      <c r="P50" s="43">
        <v>9001</v>
      </c>
      <c r="Q50" s="43">
        <v>10666</v>
      </c>
      <c r="R50" s="43">
        <v>4688</v>
      </c>
      <c r="S50" s="43">
        <v>14641</v>
      </c>
      <c r="T50" s="43">
        <v>9496</v>
      </c>
      <c r="U50" s="43">
        <v>3576</v>
      </c>
      <c r="V50" s="43">
        <v>8100</v>
      </c>
      <c r="W50" s="43">
        <v>974</v>
      </c>
      <c r="X50" s="44">
        <v>1418</v>
      </c>
    </row>
    <row r="51" spans="1:24" ht="20.45">
      <c r="A51" s="33" t="s">
        <v>51</v>
      </c>
      <c r="B51" s="34" t="s">
        <v>162</v>
      </c>
      <c r="C51" s="34" t="s">
        <v>172</v>
      </c>
      <c r="D51" s="35" t="s">
        <v>172</v>
      </c>
      <c r="E51" s="36">
        <v>2022</v>
      </c>
      <c r="F51" s="37" t="s">
        <v>162</v>
      </c>
      <c r="G51" s="38" t="s">
        <v>164</v>
      </c>
      <c r="H51" s="42">
        <v>189310</v>
      </c>
      <c r="I51" s="43">
        <v>2916</v>
      </c>
      <c r="J51" s="43">
        <v>5023</v>
      </c>
      <c r="K51" s="43">
        <v>7484</v>
      </c>
      <c r="L51" s="43">
        <v>3265</v>
      </c>
      <c r="M51" s="43">
        <v>8019</v>
      </c>
      <c r="N51" s="43">
        <v>17904</v>
      </c>
      <c r="O51" s="43">
        <v>76134</v>
      </c>
      <c r="P51" s="43">
        <v>10072</v>
      </c>
      <c r="Q51" s="43">
        <v>11837</v>
      </c>
      <c r="R51" s="43">
        <v>4838</v>
      </c>
      <c r="S51" s="43">
        <v>16115</v>
      </c>
      <c r="T51" s="43">
        <v>10405</v>
      </c>
      <c r="U51" s="43">
        <v>3779</v>
      </c>
      <c r="V51" s="43">
        <v>8956</v>
      </c>
      <c r="W51" s="43">
        <v>1023</v>
      </c>
      <c r="X51" s="44">
        <v>1540</v>
      </c>
    </row>
    <row r="52" spans="1:24" ht="20.45">
      <c r="A52" s="33" t="s">
        <v>51</v>
      </c>
      <c r="B52" s="34" t="s">
        <v>162</v>
      </c>
      <c r="C52" s="34" t="s">
        <v>173</v>
      </c>
      <c r="D52" s="35" t="s">
        <v>173</v>
      </c>
      <c r="E52" s="36">
        <v>2021</v>
      </c>
      <c r="F52" s="37" t="s">
        <v>162</v>
      </c>
      <c r="G52" s="38" t="s">
        <v>164</v>
      </c>
      <c r="H52" s="42">
        <v>177467</v>
      </c>
      <c r="I52" s="43">
        <v>2558</v>
      </c>
      <c r="J52" s="43">
        <v>4412</v>
      </c>
      <c r="K52" s="43">
        <v>6765</v>
      </c>
      <c r="L52" s="43">
        <v>2928</v>
      </c>
      <c r="M52" s="43">
        <v>7580</v>
      </c>
      <c r="N52" s="43">
        <v>16844</v>
      </c>
      <c r="O52" s="43">
        <v>73112</v>
      </c>
      <c r="P52" s="43">
        <v>9266</v>
      </c>
      <c r="Q52" s="43">
        <v>10691</v>
      </c>
      <c r="R52" s="43">
        <v>4484</v>
      </c>
      <c r="S52" s="43">
        <v>14650</v>
      </c>
      <c r="T52" s="43">
        <v>9875</v>
      </c>
      <c r="U52" s="43">
        <v>3442</v>
      </c>
      <c r="V52" s="43">
        <v>8382</v>
      </c>
      <c r="W52" s="43">
        <v>982</v>
      </c>
      <c r="X52" s="44">
        <v>1496</v>
      </c>
    </row>
    <row r="53" spans="1:24" ht="20.45">
      <c r="A53" s="33" t="s">
        <v>51</v>
      </c>
      <c r="B53" s="34" t="s">
        <v>162</v>
      </c>
      <c r="C53" s="34" t="s">
        <v>174</v>
      </c>
      <c r="D53" s="35" t="s">
        <v>174</v>
      </c>
      <c r="E53" s="36">
        <v>2020</v>
      </c>
      <c r="F53" s="37" t="s">
        <v>162</v>
      </c>
      <c r="G53" s="38" t="s">
        <v>164</v>
      </c>
      <c r="H53" s="42">
        <v>195231</v>
      </c>
      <c r="I53" s="43">
        <v>2890</v>
      </c>
      <c r="J53" s="43">
        <v>4724</v>
      </c>
      <c r="K53" s="43">
        <v>7459</v>
      </c>
      <c r="L53" s="43">
        <v>3251</v>
      </c>
      <c r="M53" s="43">
        <v>8134</v>
      </c>
      <c r="N53" s="43">
        <v>18449</v>
      </c>
      <c r="O53" s="43">
        <v>81448</v>
      </c>
      <c r="P53" s="43">
        <v>10260</v>
      </c>
      <c r="Q53" s="43">
        <v>11683</v>
      </c>
      <c r="R53" s="43">
        <v>4887</v>
      </c>
      <c r="S53" s="43">
        <v>16023</v>
      </c>
      <c r="T53" s="43">
        <v>10449</v>
      </c>
      <c r="U53" s="43">
        <v>3907</v>
      </c>
      <c r="V53" s="43">
        <v>8966</v>
      </c>
      <c r="W53" s="43">
        <v>1059</v>
      </c>
      <c r="X53" s="44">
        <v>1642</v>
      </c>
    </row>
    <row r="54" spans="1:24" ht="20.45">
      <c r="A54" s="33" t="s">
        <v>51</v>
      </c>
      <c r="B54" s="34" t="s">
        <v>175</v>
      </c>
      <c r="C54" s="34" t="s">
        <v>176</v>
      </c>
      <c r="D54" s="35" t="s">
        <v>176</v>
      </c>
      <c r="E54" s="36">
        <v>2025</v>
      </c>
      <c r="F54" s="37" t="s">
        <v>175</v>
      </c>
      <c r="G54" s="38" t="s">
        <v>164</v>
      </c>
      <c r="H54" s="55">
        <v>126428</v>
      </c>
      <c r="I54" s="56">
        <v>1580</v>
      </c>
      <c r="J54" s="56">
        <v>1841</v>
      </c>
      <c r="K54" s="56">
        <v>3649</v>
      </c>
      <c r="L54" s="56">
        <v>1972</v>
      </c>
      <c r="M54" s="56">
        <v>5587</v>
      </c>
      <c r="N54" s="56">
        <v>15078</v>
      </c>
      <c r="O54" s="56">
        <v>46548</v>
      </c>
      <c r="P54" s="56">
        <v>7156</v>
      </c>
      <c r="Q54" s="56">
        <v>8207</v>
      </c>
      <c r="R54" s="56">
        <v>4131</v>
      </c>
      <c r="S54" s="56">
        <v>11646</v>
      </c>
      <c r="T54" s="56">
        <v>7723</v>
      </c>
      <c r="U54" s="56">
        <v>3142</v>
      </c>
      <c r="V54" s="56">
        <v>6368</v>
      </c>
      <c r="W54" s="56">
        <v>605</v>
      </c>
      <c r="X54" s="57">
        <v>1195</v>
      </c>
    </row>
    <row r="55" spans="1:24" ht="20.45">
      <c r="A55" s="33" t="s">
        <v>51</v>
      </c>
      <c r="B55" s="34" t="s">
        <v>175</v>
      </c>
      <c r="C55" s="34" t="s">
        <v>832</v>
      </c>
      <c r="D55" s="35" t="s">
        <v>177</v>
      </c>
      <c r="E55" s="36">
        <v>2025</v>
      </c>
      <c r="F55" s="37" t="s">
        <v>113</v>
      </c>
      <c r="G55" s="38" t="s">
        <v>164</v>
      </c>
      <c r="H55" s="42"/>
      <c r="I55" s="45">
        <v>1.24972316259057E-2</v>
      </c>
      <c r="J55" s="45">
        <v>1.4561647736261001E-2</v>
      </c>
      <c r="K55" s="45">
        <v>2.88622773436264E-2</v>
      </c>
      <c r="L55" s="45">
        <v>1.55978106115734E-2</v>
      </c>
      <c r="M55" s="45">
        <v>4.4191160186034702E-2</v>
      </c>
      <c r="N55" s="45">
        <v>0.119261555984434</v>
      </c>
      <c r="O55" s="45">
        <v>0.36817793526750398</v>
      </c>
      <c r="P55" s="45">
        <v>5.66013857689752E-2</v>
      </c>
      <c r="Q55" s="45">
        <v>6.4914417692283399E-2</v>
      </c>
      <c r="R55" s="45">
        <v>3.2674723953554599E-2</v>
      </c>
      <c r="S55" s="45">
        <v>9.2115670579302006E-2</v>
      </c>
      <c r="T55" s="45">
        <v>6.1086151801816098E-2</v>
      </c>
      <c r="U55" s="45">
        <v>2.4852089726959199E-2</v>
      </c>
      <c r="V55" s="45">
        <v>5.0368589236561498E-2</v>
      </c>
      <c r="W55" s="45">
        <v>4.7853323630841302E-3</v>
      </c>
      <c r="X55" s="46">
        <v>9.4520201221248504E-3</v>
      </c>
    </row>
    <row r="56" spans="1:24" ht="39.6">
      <c r="A56" s="33" t="s">
        <v>51</v>
      </c>
      <c r="B56" s="34" t="s">
        <v>178</v>
      </c>
      <c r="C56" s="34" t="s">
        <v>836</v>
      </c>
      <c r="D56" s="35" t="s">
        <v>179</v>
      </c>
      <c r="E56" s="36">
        <v>2025</v>
      </c>
      <c r="F56" s="37" t="s">
        <v>110</v>
      </c>
      <c r="G56" s="38" t="s">
        <v>164</v>
      </c>
      <c r="H56" s="42">
        <v>20018</v>
      </c>
      <c r="I56" s="58">
        <v>603</v>
      </c>
      <c r="J56" s="58">
        <v>2485</v>
      </c>
      <c r="K56" s="58">
        <v>2603</v>
      </c>
      <c r="L56" s="58">
        <v>680</v>
      </c>
      <c r="M56" s="58">
        <v>760</v>
      </c>
      <c r="N56" s="58">
        <v>-1256</v>
      </c>
      <c r="O56" s="58">
        <v>11638</v>
      </c>
      <c r="P56" s="58">
        <v>788</v>
      </c>
      <c r="Q56" s="58">
        <v>677</v>
      </c>
      <c r="R56" s="58">
        <v>-285</v>
      </c>
      <c r="S56" s="58">
        <v>283</v>
      </c>
      <c r="T56" s="58">
        <v>427</v>
      </c>
      <c r="U56" s="58">
        <v>-158</v>
      </c>
      <c r="V56" s="58">
        <v>589</v>
      </c>
      <c r="W56" s="58">
        <v>147</v>
      </c>
      <c r="X56" s="59">
        <v>37</v>
      </c>
    </row>
    <row r="57" spans="1:24" ht="20.45">
      <c r="A57" s="33" t="s">
        <v>51</v>
      </c>
      <c r="B57" s="34" t="s">
        <v>175</v>
      </c>
      <c r="C57" s="34" t="s">
        <v>180</v>
      </c>
      <c r="D57" s="35" t="s">
        <v>180</v>
      </c>
      <c r="E57" s="36">
        <v>2024</v>
      </c>
      <c r="F57" s="37" t="s">
        <v>175</v>
      </c>
      <c r="G57" s="38" t="s">
        <v>164</v>
      </c>
      <c r="H57" s="55">
        <v>126883</v>
      </c>
      <c r="I57" s="56">
        <v>1583</v>
      </c>
      <c r="J57" s="56">
        <v>1781</v>
      </c>
      <c r="K57" s="56">
        <v>3576</v>
      </c>
      <c r="L57" s="56">
        <v>1921</v>
      </c>
      <c r="M57" s="56">
        <v>5505</v>
      </c>
      <c r="N57" s="56">
        <v>15529</v>
      </c>
      <c r="O57" s="56">
        <v>46850</v>
      </c>
      <c r="P57" s="56">
        <v>7144</v>
      </c>
      <c r="Q57" s="56">
        <v>8202</v>
      </c>
      <c r="R57" s="56">
        <v>4265</v>
      </c>
      <c r="S57" s="56">
        <v>11710</v>
      </c>
      <c r="T57" s="56">
        <v>7664</v>
      </c>
      <c r="U57" s="56">
        <v>3149</v>
      </c>
      <c r="V57" s="56">
        <v>6212</v>
      </c>
      <c r="W57" s="56">
        <v>585</v>
      </c>
      <c r="X57" s="57">
        <v>1207</v>
      </c>
    </row>
    <row r="58" spans="1:24" ht="20.45">
      <c r="A58" s="33" t="s">
        <v>51</v>
      </c>
      <c r="B58" s="34" t="s">
        <v>175</v>
      </c>
      <c r="C58" s="34" t="s">
        <v>181</v>
      </c>
      <c r="D58" s="35" t="s">
        <v>181</v>
      </c>
      <c r="E58" s="36">
        <v>2023</v>
      </c>
      <c r="F58" s="37" t="s">
        <v>175</v>
      </c>
      <c r="G58" s="38" t="s">
        <v>164</v>
      </c>
      <c r="H58" s="55">
        <v>121270</v>
      </c>
      <c r="I58" s="56">
        <v>1662</v>
      </c>
      <c r="J58" s="56">
        <v>1731</v>
      </c>
      <c r="K58" s="56">
        <v>3477</v>
      </c>
      <c r="L58" s="56">
        <v>1785</v>
      </c>
      <c r="M58" s="56">
        <v>5126</v>
      </c>
      <c r="N58" s="56">
        <v>14555</v>
      </c>
      <c r="O58" s="56">
        <v>44437</v>
      </c>
      <c r="P58" s="56">
        <v>6621</v>
      </c>
      <c r="Q58" s="56">
        <v>7833</v>
      </c>
      <c r="R58" s="56">
        <v>4019</v>
      </c>
      <c r="S58" s="56">
        <v>11169</v>
      </c>
      <c r="T58" s="56">
        <v>7705</v>
      </c>
      <c r="U58" s="56">
        <v>3146</v>
      </c>
      <c r="V58" s="56">
        <v>6201</v>
      </c>
      <c r="W58" s="56">
        <v>600</v>
      </c>
      <c r="X58" s="57">
        <v>1203</v>
      </c>
    </row>
    <row r="59" spans="1:24" ht="20.45">
      <c r="A59" s="33" t="s">
        <v>51</v>
      </c>
      <c r="B59" s="34" t="s">
        <v>175</v>
      </c>
      <c r="C59" s="34" t="s">
        <v>182</v>
      </c>
      <c r="D59" s="35" t="s">
        <v>182</v>
      </c>
      <c r="E59" s="36">
        <v>2022</v>
      </c>
      <c r="F59" s="37" t="s">
        <v>175</v>
      </c>
      <c r="G59" s="38" t="s">
        <v>164</v>
      </c>
      <c r="H59" s="55">
        <v>136958</v>
      </c>
      <c r="I59" s="56">
        <v>1862</v>
      </c>
      <c r="J59" s="56">
        <v>1974</v>
      </c>
      <c r="K59" s="56">
        <v>3751</v>
      </c>
      <c r="L59" s="56">
        <v>1981</v>
      </c>
      <c r="M59" s="56">
        <v>5893</v>
      </c>
      <c r="N59" s="56">
        <v>16471</v>
      </c>
      <c r="O59" s="56">
        <v>49967</v>
      </c>
      <c r="P59" s="56">
        <v>7518</v>
      </c>
      <c r="Q59" s="56">
        <v>8965</v>
      </c>
      <c r="R59" s="56">
        <v>4524</v>
      </c>
      <c r="S59" s="56">
        <v>12785</v>
      </c>
      <c r="T59" s="56">
        <v>8513</v>
      </c>
      <c r="U59" s="56">
        <v>3644</v>
      </c>
      <c r="V59" s="56">
        <v>7161</v>
      </c>
      <c r="W59" s="56">
        <v>695</v>
      </c>
      <c r="X59" s="57">
        <v>1254</v>
      </c>
    </row>
    <row r="60" spans="1:24" ht="20.45">
      <c r="A60" s="33" t="s">
        <v>51</v>
      </c>
      <c r="B60" s="34" t="s">
        <v>175</v>
      </c>
      <c r="C60" s="34" t="s">
        <v>183</v>
      </c>
      <c r="D60" s="35" t="s">
        <v>183</v>
      </c>
      <c r="E60" s="36">
        <v>2021</v>
      </c>
      <c r="F60" s="37" t="s">
        <v>175</v>
      </c>
      <c r="G60" s="38" t="s">
        <v>164</v>
      </c>
      <c r="H60" s="55">
        <v>137629</v>
      </c>
      <c r="I60" s="56">
        <v>1897</v>
      </c>
      <c r="J60" s="56">
        <v>2171</v>
      </c>
      <c r="K60" s="56">
        <v>3783</v>
      </c>
      <c r="L60" s="56">
        <v>1925</v>
      </c>
      <c r="M60" s="56">
        <v>5872</v>
      </c>
      <c r="N60" s="56">
        <v>16173</v>
      </c>
      <c r="O60" s="56">
        <v>51532</v>
      </c>
      <c r="P60" s="56">
        <v>7257</v>
      </c>
      <c r="Q60" s="56">
        <v>8603</v>
      </c>
      <c r="R60" s="56">
        <v>4231</v>
      </c>
      <c r="S60" s="56">
        <v>12560</v>
      </c>
      <c r="T60" s="56">
        <v>8648</v>
      </c>
      <c r="U60" s="56">
        <v>3705</v>
      </c>
      <c r="V60" s="56">
        <v>7227</v>
      </c>
      <c r="W60" s="56">
        <v>654</v>
      </c>
      <c r="X60" s="57">
        <v>1391</v>
      </c>
    </row>
    <row r="61" spans="1:24" ht="20.45">
      <c r="A61" s="33" t="s">
        <v>51</v>
      </c>
      <c r="B61" s="34" t="s">
        <v>175</v>
      </c>
      <c r="C61" s="34" t="s">
        <v>184</v>
      </c>
      <c r="D61" s="35" t="s">
        <v>184</v>
      </c>
      <c r="E61" s="36">
        <v>2020</v>
      </c>
      <c r="F61" s="37" t="s">
        <v>175</v>
      </c>
      <c r="G61" s="38" t="s">
        <v>164</v>
      </c>
      <c r="H61" s="42">
        <v>126169</v>
      </c>
      <c r="I61" s="43">
        <v>1643</v>
      </c>
      <c r="J61" s="43">
        <v>1802</v>
      </c>
      <c r="K61" s="43">
        <v>3701</v>
      </c>
      <c r="L61" s="43">
        <v>1671</v>
      </c>
      <c r="M61" s="43">
        <v>4840</v>
      </c>
      <c r="N61" s="43">
        <v>14498</v>
      </c>
      <c r="O61" s="43">
        <v>51600</v>
      </c>
      <c r="P61" s="43">
        <v>6447</v>
      </c>
      <c r="Q61" s="43">
        <v>7557</v>
      </c>
      <c r="R61" s="43">
        <v>3745</v>
      </c>
      <c r="S61" s="43">
        <v>10934</v>
      </c>
      <c r="T61" s="43">
        <v>7163</v>
      </c>
      <c r="U61" s="43">
        <v>2959</v>
      </c>
      <c r="V61" s="43">
        <v>5705</v>
      </c>
      <c r="W61" s="43">
        <v>594</v>
      </c>
      <c r="X61" s="44">
        <v>1310</v>
      </c>
    </row>
    <row r="62" spans="1:24" ht="20.45">
      <c r="A62" s="33" t="s">
        <v>51</v>
      </c>
      <c r="B62" s="34" t="s">
        <v>185</v>
      </c>
      <c r="C62" s="34" t="s">
        <v>186</v>
      </c>
      <c r="D62" s="35" t="s">
        <v>186</v>
      </c>
      <c r="E62" s="36">
        <v>2025</v>
      </c>
      <c r="F62" s="37" t="s">
        <v>187</v>
      </c>
      <c r="G62" s="38" t="s">
        <v>164</v>
      </c>
      <c r="H62" s="42">
        <v>60293</v>
      </c>
      <c r="I62" s="43">
        <v>718</v>
      </c>
      <c r="J62" s="43">
        <v>1150</v>
      </c>
      <c r="K62" s="43">
        <v>2460</v>
      </c>
      <c r="L62" s="43">
        <v>798</v>
      </c>
      <c r="M62" s="43">
        <v>2157</v>
      </c>
      <c r="N62" s="43">
        <v>6106</v>
      </c>
      <c r="O62" s="43">
        <v>26532</v>
      </c>
      <c r="P62" s="43">
        <v>2671</v>
      </c>
      <c r="Q62" s="43">
        <v>3085</v>
      </c>
      <c r="R62" s="43">
        <v>1367</v>
      </c>
      <c r="S62" s="43">
        <v>5247</v>
      </c>
      <c r="T62" s="43">
        <v>3162</v>
      </c>
      <c r="U62" s="43">
        <v>1319</v>
      </c>
      <c r="V62" s="43">
        <v>2705</v>
      </c>
      <c r="W62" s="43">
        <v>289</v>
      </c>
      <c r="X62" s="57">
        <v>527</v>
      </c>
    </row>
    <row r="63" spans="1:24" ht="20.45">
      <c r="A63" s="33" t="s">
        <v>51</v>
      </c>
      <c r="B63" s="34" t="s">
        <v>185</v>
      </c>
      <c r="C63" s="34" t="s">
        <v>837</v>
      </c>
      <c r="D63" s="35" t="s">
        <v>188</v>
      </c>
      <c r="E63" s="36">
        <v>2025</v>
      </c>
      <c r="F63" s="37" t="s">
        <v>189</v>
      </c>
      <c r="G63" s="38" t="s">
        <v>164</v>
      </c>
      <c r="H63" s="55">
        <v>19700</v>
      </c>
      <c r="I63" s="56">
        <v>288</v>
      </c>
      <c r="J63" s="56">
        <v>587</v>
      </c>
      <c r="K63" s="56">
        <v>2048</v>
      </c>
      <c r="L63" s="56">
        <v>383</v>
      </c>
      <c r="M63" s="56">
        <v>734</v>
      </c>
      <c r="N63" s="56">
        <v>1704</v>
      </c>
      <c r="O63" s="56">
        <v>10145</v>
      </c>
      <c r="P63" s="56">
        <v>592</v>
      </c>
      <c r="Q63" s="56">
        <v>498</v>
      </c>
      <c r="R63" s="56">
        <v>217</v>
      </c>
      <c r="S63" s="56">
        <v>858</v>
      </c>
      <c r="T63" s="56">
        <v>391</v>
      </c>
      <c r="U63" s="56">
        <v>226</v>
      </c>
      <c r="V63" s="56">
        <v>528</v>
      </c>
      <c r="W63" s="56">
        <v>109</v>
      </c>
      <c r="X63" s="57">
        <v>392</v>
      </c>
    </row>
    <row r="64" spans="1:24" ht="20.45">
      <c r="A64" s="33" t="s">
        <v>51</v>
      </c>
      <c r="B64" s="34" t="s">
        <v>185</v>
      </c>
      <c r="C64" s="34" t="s">
        <v>838</v>
      </c>
      <c r="D64" s="35" t="s">
        <v>190</v>
      </c>
      <c r="E64" s="36">
        <v>2025</v>
      </c>
      <c r="F64" s="37" t="s">
        <v>191</v>
      </c>
      <c r="G64" s="38" t="s">
        <v>164</v>
      </c>
      <c r="H64" s="42">
        <v>79993</v>
      </c>
      <c r="I64" s="43">
        <v>1006</v>
      </c>
      <c r="J64" s="43">
        <v>1737</v>
      </c>
      <c r="K64" s="43">
        <v>4508</v>
      </c>
      <c r="L64" s="43">
        <v>1181</v>
      </c>
      <c r="M64" s="43">
        <v>2891</v>
      </c>
      <c r="N64" s="43">
        <v>7810</v>
      </c>
      <c r="O64" s="43">
        <v>36677</v>
      </c>
      <c r="P64" s="43">
        <v>3263</v>
      </c>
      <c r="Q64" s="43">
        <v>3583</v>
      </c>
      <c r="R64" s="43">
        <v>1584</v>
      </c>
      <c r="S64" s="43">
        <v>6105</v>
      </c>
      <c r="T64" s="43">
        <v>3553</v>
      </c>
      <c r="U64" s="43">
        <v>1545</v>
      </c>
      <c r="V64" s="43">
        <v>3233</v>
      </c>
      <c r="W64" s="43">
        <v>398</v>
      </c>
      <c r="X64" s="44">
        <v>919</v>
      </c>
    </row>
    <row r="65" spans="1:24" ht="20.45">
      <c r="A65" s="33" t="s">
        <v>51</v>
      </c>
      <c r="B65" s="34" t="s">
        <v>185</v>
      </c>
      <c r="C65" s="34" t="s">
        <v>832</v>
      </c>
      <c r="D65" s="35" t="s">
        <v>192</v>
      </c>
      <c r="E65" s="36">
        <v>2025</v>
      </c>
      <c r="F65" s="37" t="s">
        <v>113</v>
      </c>
      <c r="G65" s="38" t="s">
        <v>164</v>
      </c>
      <c r="H65" s="42"/>
      <c r="I65" s="45">
        <v>1.25761004087858E-2</v>
      </c>
      <c r="J65" s="45">
        <v>2.1714400010000901E-2</v>
      </c>
      <c r="K65" s="45">
        <v>5.6354931056467397E-2</v>
      </c>
      <c r="L65" s="45">
        <v>1.47637918317853E-2</v>
      </c>
      <c r="M65" s="45">
        <v>3.6140662307951897E-2</v>
      </c>
      <c r="N65" s="45">
        <v>9.7633542935006798E-2</v>
      </c>
      <c r="O65" s="45">
        <v>0.458502618979161</v>
      </c>
      <c r="P65" s="45">
        <v>4.0791069218556603E-2</v>
      </c>
      <c r="Q65" s="45">
        <v>4.4791419249184297E-2</v>
      </c>
      <c r="R65" s="45">
        <v>1.9801732651607E-2</v>
      </c>
      <c r="S65" s="45">
        <v>7.6319177928068693E-2</v>
      </c>
      <c r="T65" s="45">
        <v>4.4416386433813002E-2</v>
      </c>
      <c r="U65" s="45">
        <v>1.9314189991624299E-2</v>
      </c>
      <c r="V65" s="45">
        <v>4.04160364031853E-2</v>
      </c>
      <c r="W65" s="45">
        <v>4.9754353505931798E-3</v>
      </c>
      <c r="X65" s="46">
        <v>1.1488505244208899E-2</v>
      </c>
    </row>
    <row r="66" spans="1:24" ht="20.45">
      <c r="A66" s="33" t="s">
        <v>51</v>
      </c>
      <c r="B66" s="34" t="s">
        <v>185</v>
      </c>
      <c r="C66" s="34" t="s">
        <v>193</v>
      </c>
      <c r="D66" s="35" t="s">
        <v>193</v>
      </c>
      <c r="E66" s="36">
        <v>2024</v>
      </c>
      <c r="F66" s="37" t="s">
        <v>187</v>
      </c>
      <c r="G66" s="38" t="s">
        <v>164</v>
      </c>
      <c r="H66" s="42">
        <v>61119</v>
      </c>
      <c r="I66" s="43">
        <v>816</v>
      </c>
      <c r="J66" s="43">
        <v>1234</v>
      </c>
      <c r="K66" s="43">
        <v>2719</v>
      </c>
      <c r="L66" s="43">
        <v>789</v>
      </c>
      <c r="M66" s="43">
        <v>2090</v>
      </c>
      <c r="N66" s="43">
        <v>6223</v>
      </c>
      <c r="O66" s="43">
        <v>27006</v>
      </c>
      <c r="P66" s="43">
        <v>2599</v>
      </c>
      <c r="Q66" s="43">
        <v>3115</v>
      </c>
      <c r="R66" s="43">
        <v>1425</v>
      </c>
      <c r="S66" s="43">
        <v>5329</v>
      </c>
      <c r="T66" s="43">
        <v>3096</v>
      </c>
      <c r="U66" s="43">
        <v>1261</v>
      </c>
      <c r="V66" s="43">
        <v>2639</v>
      </c>
      <c r="W66" s="56">
        <v>259</v>
      </c>
      <c r="X66" s="57">
        <v>518</v>
      </c>
    </row>
    <row r="67" spans="1:24" ht="20.45">
      <c r="A67" s="33" t="s">
        <v>51</v>
      </c>
      <c r="B67" s="34" t="s">
        <v>185</v>
      </c>
      <c r="C67" s="34" t="s">
        <v>194</v>
      </c>
      <c r="D67" s="35" t="s">
        <v>194</v>
      </c>
      <c r="E67" s="36">
        <v>2023</v>
      </c>
      <c r="F67" s="37" t="s">
        <v>187</v>
      </c>
      <c r="G67" s="38" t="s">
        <v>164</v>
      </c>
      <c r="H67" s="42">
        <v>64285</v>
      </c>
      <c r="I67" s="43">
        <v>830</v>
      </c>
      <c r="J67" s="43">
        <v>1298</v>
      </c>
      <c r="K67" s="43">
        <v>2667</v>
      </c>
      <c r="L67" s="43">
        <v>882</v>
      </c>
      <c r="M67" s="43">
        <v>2170</v>
      </c>
      <c r="N67" s="43">
        <v>6536</v>
      </c>
      <c r="O67" s="43">
        <v>28594</v>
      </c>
      <c r="P67" s="43">
        <v>2804</v>
      </c>
      <c r="Q67" s="43">
        <v>3322</v>
      </c>
      <c r="R67" s="43">
        <v>1478</v>
      </c>
      <c r="S67" s="43">
        <v>5525</v>
      </c>
      <c r="T67" s="43">
        <v>3175</v>
      </c>
      <c r="U67" s="43">
        <v>1296</v>
      </c>
      <c r="V67" s="43">
        <v>2804</v>
      </c>
      <c r="W67" s="56">
        <v>290</v>
      </c>
      <c r="X67" s="57">
        <v>602</v>
      </c>
    </row>
    <row r="68" spans="1:24" ht="20.45">
      <c r="A68" s="33" t="s">
        <v>51</v>
      </c>
      <c r="B68" s="34" t="s">
        <v>185</v>
      </c>
      <c r="C68" s="34" t="s">
        <v>195</v>
      </c>
      <c r="D68" s="35" t="s">
        <v>195</v>
      </c>
      <c r="E68" s="36">
        <v>2022</v>
      </c>
      <c r="F68" s="37" t="s">
        <v>187</v>
      </c>
      <c r="G68" s="38" t="s">
        <v>164</v>
      </c>
      <c r="H68" s="42">
        <v>68482</v>
      </c>
      <c r="I68" s="43">
        <v>1249</v>
      </c>
      <c r="J68" s="43">
        <v>1270</v>
      </c>
      <c r="K68" s="43">
        <v>2137</v>
      </c>
      <c r="L68" s="43">
        <v>858</v>
      </c>
      <c r="M68" s="43">
        <v>2187</v>
      </c>
      <c r="N68" s="43">
        <v>7006</v>
      </c>
      <c r="O68" s="43">
        <v>30769</v>
      </c>
      <c r="P68" s="43">
        <v>3010</v>
      </c>
      <c r="Q68" s="43">
        <v>3472</v>
      </c>
      <c r="R68" s="43">
        <v>1633</v>
      </c>
      <c r="S68" s="43">
        <v>6399</v>
      </c>
      <c r="T68" s="43">
        <v>3494</v>
      </c>
      <c r="U68" s="43">
        <v>1234</v>
      </c>
      <c r="V68" s="43">
        <v>2869</v>
      </c>
      <c r="W68" s="43">
        <v>326</v>
      </c>
      <c r="X68" s="44">
        <v>569</v>
      </c>
    </row>
    <row r="69" spans="1:24" ht="20.45">
      <c r="A69" s="33" t="s">
        <v>51</v>
      </c>
      <c r="B69" s="34" t="s">
        <v>185</v>
      </c>
      <c r="C69" s="34" t="s">
        <v>196</v>
      </c>
      <c r="D69" s="35" t="s">
        <v>196</v>
      </c>
      <c r="E69" s="36">
        <v>2021</v>
      </c>
      <c r="F69" s="37" t="s">
        <v>187</v>
      </c>
      <c r="G69" s="38" t="s">
        <v>164</v>
      </c>
      <c r="H69" s="42">
        <v>53255</v>
      </c>
      <c r="I69" s="43">
        <v>628</v>
      </c>
      <c r="J69" s="43">
        <v>1118</v>
      </c>
      <c r="K69" s="43">
        <v>1684</v>
      </c>
      <c r="L69" s="43">
        <v>714</v>
      </c>
      <c r="M69" s="43">
        <v>1758</v>
      </c>
      <c r="N69" s="43">
        <v>5251</v>
      </c>
      <c r="O69" s="43">
        <v>24237</v>
      </c>
      <c r="P69" s="43">
        <v>2194</v>
      </c>
      <c r="Q69" s="43">
        <v>2531</v>
      </c>
      <c r="R69" s="43">
        <v>1267</v>
      </c>
      <c r="S69" s="43">
        <v>4655</v>
      </c>
      <c r="T69" s="43">
        <v>2714</v>
      </c>
      <c r="U69" s="43">
        <v>1172</v>
      </c>
      <c r="V69" s="43">
        <v>2525</v>
      </c>
      <c r="W69" s="43">
        <v>295</v>
      </c>
      <c r="X69" s="44">
        <v>512</v>
      </c>
    </row>
    <row r="70" spans="1:24" ht="20.45">
      <c r="A70" s="33" t="s">
        <v>51</v>
      </c>
      <c r="B70" s="34" t="s">
        <v>185</v>
      </c>
      <c r="C70" s="34" t="s">
        <v>197</v>
      </c>
      <c r="D70" s="35" t="s">
        <v>197</v>
      </c>
      <c r="E70" s="36">
        <v>2020</v>
      </c>
      <c r="F70" s="37" t="s">
        <v>187</v>
      </c>
      <c r="G70" s="38" t="s">
        <v>164</v>
      </c>
      <c r="H70" s="42">
        <v>37647</v>
      </c>
      <c r="I70" s="43">
        <v>553</v>
      </c>
      <c r="J70" s="43">
        <v>804</v>
      </c>
      <c r="K70" s="43">
        <v>1149</v>
      </c>
      <c r="L70" s="43">
        <v>510</v>
      </c>
      <c r="M70" s="43">
        <v>1251</v>
      </c>
      <c r="N70" s="43">
        <v>4059</v>
      </c>
      <c r="O70" s="43">
        <v>15596</v>
      </c>
      <c r="P70" s="43">
        <v>1688</v>
      </c>
      <c r="Q70" s="43">
        <v>2072</v>
      </c>
      <c r="R70" s="43">
        <v>957</v>
      </c>
      <c r="S70" s="43">
        <v>3734</v>
      </c>
      <c r="T70" s="43">
        <v>2058</v>
      </c>
      <c r="U70" s="43">
        <v>934</v>
      </c>
      <c r="V70" s="43">
        <v>1731</v>
      </c>
      <c r="W70" s="43">
        <v>220</v>
      </c>
      <c r="X70" s="44">
        <v>331</v>
      </c>
    </row>
    <row r="71" spans="1:24" ht="20.45">
      <c r="A71" s="33" t="s">
        <v>51</v>
      </c>
      <c r="B71" s="34" t="s">
        <v>185</v>
      </c>
      <c r="C71" s="34" t="s">
        <v>839</v>
      </c>
      <c r="D71" s="35" t="s">
        <v>198</v>
      </c>
      <c r="E71" s="36">
        <v>2024</v>
      </c>
      <c r="F71" s="37" t="s">
        <v>189</v>
      </c>
      <c r="G71" s="38" t="s">
        <v>164</v>
      </c>
      <c r="H71" s="42">
        <v>16266</v>
      </c>
      <c r="I71" s="43">
        <v>236</v>
      </c>
      <c r="J71" s="43">
        <v>463</v>
      </c>
      <c r="K71" s="43">
        <v>1603</v>
      </c>
      <c r="L71" s="43">
        <v>363</v>
      </c>
      <c r="M71" s="43">
        <v>645</v>
      </c>
      <c r="N71" s="43">
        <v>1519</v>
      </c>
      <c r="O71" s="43">
        <v>8054</v>
      </c>
      <c r="P71" s="43">
        <v>474</v>
      </c>
      <c r="Q71" s="43">
        <v>435</v>
      </c>
      <c r="R71" s="43">
        <v>175</v>
      </c>
      <c r="S71" s="43">
        <v>749</v>
      </c>
      <c r="T71" s="43">
        <v>371</v>
      </c>
      <c r="U71" s="43">
        <v>225</v>
      </c>
      <c r="V71" s="43">
        <v>479</v>
      </c>
      <c r="W71" s="43">
        <v>106</v>
      </c>
      <c r="X71" s="44">
        <v>369</v>
      </c>
    </row>
    <row r="72" spans="1:24" ht="20.45">
      <c r="A72" s="33" t="s">
        <v>51</v>
      </c>
      <c r="B72" s="34" t="s">
        <v>185</v>
      </c>
      <c r="C72" s="34" t="s">
        <v>840</v>
      </c>
      <c r="D72" s="35" t="s">
        <v>199</v>
      </c>
      <c r="E72" s="36">
        <v>2023</v>
      </c>
      <c r="F72" s="37" t="s">
        <v>189</v>
      </c>
      <c r="G72" s="38" t="s">
        <v>164</v>
      </c>
      <c r="H72" s="42">
        <v>11745</v>
      </c>
      <c r="I72" s="43">
        <v>179</v>
      </c>
      <c r="J72" s="43">
        <v>339</v>
      </c>
      <c r="K72" s="43">
        <v>952</v>
      </c>
      <c r="L72" s="43">
        <v>251</v>
      </c>
      <c r="M72" s="43">
        <v>479</v>
      </c>
      <c r="N72" s="43">
        <v>1327</v>
      </c>
      <c r="O72" s="43">
        <v>5661</v>
      </c>
      <c r="P72" s="43">
        <v>372</v>
      </c>
      <c r="Q72" s="43">
        <v>359</v>
      </c>
      <c r="R72" s="43">
        <v>145</v>
      </c>
      <c r="S72" s="43">
        <v>542</v>
      </c>
      <c r="T72" s="43">
        <v>289</v>
      </c>
      <c r="U72" s="43">
        <v>159</v>
      </c>
      <c r="V72" s="43">
        <v>381</v>
      </c>
      <c r="W72" s="43">
        <v>65</v>
      </c>
      <c r="X72" s="44">
        <v>245</v>
      </c>
    </row>
    <row r="73" spans="1:24" ht="20.45">
      <c r="A73" s="33" t="s">
        <v>51</v>
      </c>
      <c r="B73" s="34" t="s">
        <v>185</v>
      </c>
      <c r="C73" s="34" t="s">
        <v>841</v>
      </c>
      <c r="D73" s="35" t="s">
        <v>200</v>
      </c>
      <c r="E73" s="36">
        <v>2022</v>
      </c>
      <c r="F73" s="37" t="s">
        <v>189</v>
      </c>
      <c r="G73" s="38" t="s">
        <v>164</v>
      </c>
      <c r="H73" s="42">
        <v>8917</v>
      </c>
      <c r="I73" s="43">
        <v>135</v>
      </c>
      <c r="J73" s="43">
        <v>238</v>
      </c>
      <c r="K73" s="43">
        <v>355</v>
      </c>
      <c r="L73" s="43">
        <v>151</v>
      </c>
      <c r="M73" s="43">
        <v>346</v>
      </c>
      <c r="N73" s="43">
        <v>995</v>
      </c>
      <c r="O73" s="43">
        <v>4518</v>
      </c>
      <c r="P73" s="43">
        <v>253</v>
      </c>
      <c r="Q73" s="43">
        <v>273</v>
      </c>
      <c r="R73" s="43">
        <v>117</v>
      </c>
      <c r="S73" s="43">
        <v>567</v>
      </c>
      <c r="T73" s="43">
        <v>241</v>
      </c>
      <c r="U73" s="43">
        <v>163</v>
      </c>
      <c r="V73" s="43">
        <v>321</v>
      </c>
      <c r="W73" s="43">
        <v>70</v>
      </c>
      <c r="X73" s="44">
        <v>174</v>
      </c>
    </row>
    <row r="74" spans="1:24" ht="20.45">
      <c r="A74" s="33" t="s">
        <v>51</v>
      </c>
      <c r="B74" s="34" t="s">
        <v>185</v>
      </c>
      <c r="C74" s="34" t="s">
        <v>842</v>
      </c>
      <c r="D74" s="35" t="s">
        <v>201</v>
      </c>
      <c r="E74" s="36">
        <v>2021</v>
      </c>
      <c r="F74" s="37" t="s">
        <v>189</v>
      </c>
      <c r="G74" s="38" t="s">
        <v>164</v>
      </c>
      <c r="H74" s="42">
        <v>8661</v>
      </c>
      <c r="I74" s="43">
        <v>116</v>
      </c>
      <c r="J74" s="43">
        <v>240</v>
      </c>
      <c r="K74" s="43">
        <v>307</v>
      </c>
      <c r="L74" s="43">
        <v>129</v>
      </c>
      <c r="M74" s="43">
        <v>344</v>
      </c>
      <c r="N74" s="43">
        <v>875</v>
      </c>
      <c r="O74" s="43">
        <v>4897</v>
      </c>
      <c r="P74" s="43">
        <v>209</v>
      </c>
      <c r="Q74" s="43">
        <v>232</v>
      </c>
      <c r="R74" s="43">
        <v>93</v>
      </c>
      <c r="S74" s="43">
        <v>438</v>
      </c>
      <c r="T74" s="43">
        <v>204</v>
      </c>
      <c r="U74" s="43">
        <v>141</v>
      </c>
      <c r="V74" s="43">
        <v>268</v>
      </c>
      <c r="W74" s="43">
        <v>38</v>
      </c>
      <c r="X74" s="44">
        <v>130</v>
      </c>
    </row>
    <row r="75" spans="1:24" ht="20.45">
      <c r="A75" s="33" t="s">
        <v>51</v>
      </c>
      <c r="B75" s="34" t="s">
        <v>185</v>
      </c>
      <c r="C75" s="34" t="s">
        <v>843</v>
      </c>
      <c r="D75" s="35" t="s">
        <v>202</v>
      </c>
      <c r="E75" s="36">
        <v>2020</v>
      </c>
      <c r="F75" s="37" t="s">
        <v>189</v>
      </c>
      <c r="G75" s="38" t="s">
        <v>164</v>
      </c>
      <c r="H75" s="42">
        <v>5328</v>
      </c>
      <c r="I75" s="43">
        <v>91</v>
      </c>
      <c r="J75" s="43">
        <v>169</v>
      </c>
      <c r="K75" s="43">
        <v>289</v>
      </c>
      <c r="L75" s="43">
        <v>132</v>
      </c>
      <c r="M75" s="43">
        <v>262</v>
      </c>
      <c r="N75" s="43">
        <v>758</v>
      </c>
      <c r="O75" s="43">
        <v>2228</v>
      </c>
      <c r="P75" s="43">
        <v>170</v>
      </c>
      <c r="Q75" s="43">
        <v>199</v>
      </c>
      <c r="R75" s="43">
        <v>73</v>
      </c>
      <c r="S75" s="43">
        <v>314</v>
      </c>
      <c r="T75" s="43">
        <v>168</v>
      </c>
      <c r="U75" s="43">
        <v>93</v>
      </c>
      <c r="V75" s="43">
        <v>219</v>
      </c>
      <c r="W75" s="43">
        <v>34</v>
      </c>
      <c r="X75" s="44">
        <v>129</v>
      </c>
    </row>
    <row r="76" spans="1:24" ht="39.6">
      <c r="A76" s="33" t="s">
        <v>51</v>
      </c>
      <c r="B76" s="34" t="s">
        <v>203</v>
      </c>
      <c r="C76" s="34" t="s">
        <v>844</v>
      </c>
      <c r="D76" s="35" t="s">
        <v>204</v>
      </c>
      <c r="E76" s="36">
        <v>2025</v>
      </c>
      <c r="F76" s="37" t="s">
        <v>205</v>
      </c>
      <c r="G76" s="38" t="s">
        <v>164</v>
      </c>
      <c r="H76" s="60">
        <v>7.2</v>
      </c>
      <c r="I76" s="61">
        <v>8.3000000000000007</v>
      </c>
      <c r="J76" s="61">
        <v>10.5</v>
      </c>
      <c r="K76" s="61">
        <v>8.6999999999999993</v>
      </c>
      <c r="L76" s="61">
        <v>8.3000000000000007</v>
      </c>
      <c r="M76" s="61">
        <v>7.1</v>
      </c>
      <c r="N76" s="61">
        <v>6.8</v>
      </c>
      <c r="O76" s="61">
        <v>6.9</v>
      </c>
      <c r="P76" s="61">
        <v>7.7</v>
      </c>
      <c r="Q76" s="61">
        <v>7.5</v>
      </c>
      <c r="R76" s="61">
        <v>7.3</v>
      </c>
      <c r="S76" s="61">
        <v>7.1</v>
      </c>
      <c r="T76" s="61">
        <v>7.9</v>
      </c>
      <c r="U76" s="61">
        <v>7.2</v>
      </c>
      <c r="V76" s="61">
        <v>7.6</v>
      </c>
      <c r="W76" s="61">
        <v>6.9</v>
      </c>
      <c r="X76" s="62">
        <v>6.7</v>
      </c>
    </row>
    <row r="77" spans="1:24" ht="39.6">
      <c r="A77" s="33" t="s">
        <v>51</v>
      </c>
      <c r="B77" s="34" t="s">
        <v>203</v>
      </c>
      <c r="C77" s="34" t="s">
        <v>845</v>
      </c>
      <c r="D77" s="35" t="s">
        <v>31</v>
      </c>
      <c r="E77" s="36">
        <v>2025</v>
      </c>
      <c r="F77" s="37" t="s">
        <v>206</v>
      </c>
      <c r="G77" s="38" t="s">
        <v>164</v>
      </c>
      <c r="H77" s="60">
        <v>0.99</v>
      </c>
      <c r="I77" s="63">
        <v>1.17</v>
      </c>
      <c r="J77" s="63">
        <v>1.32</v>
      </c>
      <c r="K77" s="63">
        <v>1.06</v>
      </c>
      <c r="L77" s="63">
        <v>1.19</v>
      </c>
      <c r="M77" s="63">
        <v>1.02</v>
      </c>
      <c r="N77" s="63">
        <v>0.98</v>
      </c>
      <c r="O77" s="63">
        <v>0.88</v>
      </c>
      <c r="P77" s="63">
        <v>1.19</v>
      </c>
      <c r="Q77" s="63">
        <v>1.1100000000000001</v>
      </c>
      <c r="R77" s="63">
        <v>1.1000000000000001</v>
      </c>
      <c r="S77" s="63">
        <v>1</v>
      </c>
      <c r="T77" s="63">
        <v>1.1299999999999999</v>
      </c>
      <c r="U77" s="63">
        <v>1.01</v>
      </c>
      <c r="V77" s="63">
        <v>1.0900000000000001</v>
      </c>
      <c r="W77" s="63">
        <v>1.02</v>
      </c>
      <c r="X77" s="64">
        <v>0.91</v>
      </c>
    </row>
    <row r="78" spans="1:24" ht="39.6">
      <c r="A78" s="33" t="s">
        <v>51</v>
      </c>
      <c r="B78" s="34" t="s">
        <v>203</v>
      </c>
      <c r="C78" s="34" t="s">
        <v>846</v>
      </c>
      <c r="D78" s="35" t="s">
        <v>207</v>
      </c>
      <c r="E78" s="36">
        <v>2024</v>
      </c>
      <c r="F78" s="37" t="s">
        <v>205</v>
      </c>
      <c r="G78" s="38" t="s">
        <v>164</v>
      </c>
      <c r="H78" s="60">
        <v>7.7</v>
      </c>
      <c r="I78" s="65">
        <v>9.1</v>
      </c>
      <c r="J78" s="65">
        <v>10.5</v>
      </c>
      <c r="K78" s="65">
        <v>8.8000000000000007</v>
      </c>
      <c r="L78" s="65">
        <v>8.9</v>
      </c>
      <c r="M78" s="65">
        <v>7.6</v>
      </c>
      <c r="N78" s="65">
        <v>7.3</v>
      </c>
      <c r="O78" s="65">
        <v>7.2</v>
      </c>
      <c r="P78" s="65">
        <v>8.1</v>
      </c>
      <c r="Q78" s="65">
        <v>8</v>
      </c>
      <c r="R78" s="65">
        <v>7.9</v>
      </c>
      <c r="S78" s="65">
        <v>7.7</v>
      </c>
      <c r="T78" s="65">
        <v>8.4</v>
      </c>
      <c r="U78" s="65">
        <v>7.7</v>
      </c>
      <c r="V78" s="65">
        <v>8.1999999999999993</v>
      </c>
      <c r="W78" s="65">
        <v>7.4</v>
      </c>
      <c r="X78" s="66">
        <v>6.8</v>
      </c>
    </row>
    <row r="79" spans="1:24" ht="39.6">
      <c r="A79" s="33" t="s">
        <v>51</v>
      </c>
      <c r="B79" s="34" t="s">
        <v>203</v>
      </c>
      <c r="C79" s="34" t="s">
        <v>847</v>
      </c>
      <c r="D79" s="35" t="s">
        <v>208</v>
      </c>
      <c r="E79" s="36">
        <v>2023</v>
      </c>
      <c r="F79" s="37" t="s">
        <v>205</v>
      </c>
      <c r="G79" s="38" t="s">
        <v>164</v>
      </c>
      <c r="H79" s="60">
        <v>8.6999999999999993</v>
      </c>
      <c r="I79" s="65">
        <v>10.6</v>
      </c>
      <c r="J79" s="65">
        <v>11.7</v>
      </c>
      <c r="K79" s="65">
        <v>9.8000000000000007</v>
      </c>
      <c r="L79" s="65">
        <v>9.8000000000000007</v>
      </c>
      <c r="M79" s="65">
        <v>8.6</v>
      </c>
      <c r="N79" s="65">
        <v>8.4</v>
      </c>
      <c r="O79" s="65">
        <v>8.1999999999999993</v>
      </c>
      <c r="P79" s="65">
        <v>8.9</v>
      </c>
      <c r="Q79" s="65">
        <v>9.3000000000000007</v>
      </c>
      <c r="R79" s="65">
        <v>9.1</v>
      </c>
      <c r="S79" s="65">
        <v>8.8000000000000007</v>
      </c>
      <c r="T79" s="65">
        <v>9.4</v>
      </c>
      <c r="U79" s="65">
        <v>8.8000000000000007</v>
      </c>
      <c r="V79" s="65">
        <v>9.1</v>
      </c>
      <c r="W79" s="65">
        <v>9.1</v>
      </c>
      <c r="X79" s="66">
        <v>7.9</v>
      </c>
    </row>
    <row r="80" spans="1:24" ht="39.6">
      <c r="A80" s="33" t="s">
        <v>51</v>
      </c>
      <c r="B80" s="34" t="s">
        <v>203</v>
      </c>
      <c r="C80" s="34" t="s">
        <v>848</v>
      </c>
      <c r="D80" s="35" t="s">
        <v>209</v>
      </c>
      <c r="E80" s="36">
        <v>2022</v>
      </c>
      <c r="F80" s="37" t="s">
        <v>205</v>
      </c>
      <c r="G80" s="38" t="s">
        <v>164</v>
      </c>
      <c r="H80" s="60">
        <v>9.6</v>
      </c>
      <c r="I80" s="65">
        <v>11.3</v>
      </c>
      <c r="J80" s="65">
        <v>12.7</v>
      </c>
      <c r="K80" s="65">
        <v>10.6</v>
      </c>
      <c r="L80" s="65">
        <v>10.3</v>
      </c>
      <c r="M80" s="65">
        <v>9.4</v>
      </c>
      <c r="N80" s="65">
        <v>9</v>
      </c>
      <c r="O80" s="65">
        <v>9.1999999999999993</v>
      </c>
      <c r="P80" s="65">
        <v>10</v>
      </c>
      <c r="Q80" s="65">
        <v>10.3</v>
      </c>
      <c r="R80" s="65">
        <v>9.4</v>
      </c>
      <c r="S80" s="65">
        <v>9.6</v>
      </c>
      <c r="T80" s="65">
        <v>10.199999999999999</v>
      </c>
      <c r="U80" s="65">
        <v>9.3000000000000007</v>
      </c>
      <c r="V80" s="65">
        <v>9.9</v>
      </c>
      <c r="W80" s="65">
        <v>9.5</v>
      </c>
      <c r="X80" s="66">
        <v>8.5</v>
      </c>
    </row>
    <row r="81" spans="1:24" ht="39.6">
      <c r="A81" s="33" t="s">
        <v>51</v>
      </c>
      <c r="B81" s="34" t="s">
        <v>203</v>
      </c>
      <c r="C81" s="34" t="s">
        <v>849</v>
      </c>
      <c r="D81" s="35" t="s">
        <v>210</v>
      </c>
      <c r="E81" s="36">
        <v>2021</v>
      </c>
      <c r="F81" s="37" t="s">
        <v>205</v>
      </c>
      <c r="G81" s="38" t="s">
        <v>164</v>
      </c>
      <c r="H81" s="60">
        <v>9</v>
      </c>
      <c r="I81" s="65">
        <v>10</v>
      </c>
      <c r="J81" s="65">
        <v>11.3</v>
      </c>
      <c r="K81" s="65">
        <v>9.6</v>
      </c>
      <c r="L81" s="65">
        <v>9.1999999999999993</v>
      </c>
      <c r="M81" s="65">
        <v>8.9</v>
      </c>
      <c r="N81" s="65">
        <v>8.5</v>
      </c>
      <c r="O81" s="65">
        <v>8.9</v>
      </c>
      <c r="P81" s="65">
        <v>9.3000000000000007</v>
      </c>
      <c r="Q81" s="65">
        <v>9.4</v>
      </c>
      <c r="R81" s="65">
        <v>8.6999999999999993</v>
      </c>
      <c r="S81" s="65">
        <v>8.8000000000000007</v>
      </c>
      <c r="T81" s="65">
        <v>9.6999999999999993</v>
      </c>
      <c r="U81" s="65">
        <v>8.4</v>
      </c>
      <c r="V81" s="65">
        <v>9.3000000000000007</v>
      </c>
      <c r="W81" s="65">
        <v>9.1</v>
      </c>
      <c r="X81" s="66">
        <v>8.3000000000000007</v>
      </c>
    </row>
    <row r="82" spans="1:24" ht="40.9">
      <c r="A82" s="33" t="s">
        <v>51</v>
      </c>
      <c r="B82" s="34" t="s">
        <v>203</v>
      </c>
      <c r="C82" s="34" t="s">
        <v>849</v>
      </c>
      <c r="D82" s="35" t="s">
        <v>211</v>
      </c>
      <c r="E82" s="36">
        <v>2021</v>
      </c>
      <c r="F82" s="37" t="s">
        <v>205</v>
      </c>
      <c r="G82" s="38" t="s">
        <v>164</v>
      </c>
      <c r="H82" s="60">
        <v>10</v>
      </c>
      <c r="I82" s="65">
        <v>11.5</v>
      </c>
      <c r="J82" s="65">
        <v>12.3</v>
      </c>
      <c r="K82" s="65">
        <v>10.8</v>
      </c>
      <c r="L82" s="65">
        <v>10.3</v>
      </c>
      <c r="M82" s="65">
        <v>9.6999999999999993</v>
      </c>
      <c r="N82" s="65">
        <v>9.4</v>
      </c>
      <c r="O82" s="65">
        <v>10</v>
      </c>
      <c r="P82" s="65">
        <v>10.4</v>
      </c>
      <c r="Q82" s="65">
        <v>10.3</v>
      </c>
      <c r="R82" s="65">
        <v>9.6</v>
      </c>
      <c r="S82" s="65">
        <v>9.6</v>
      </c>
      <c r="T82" s="65">
        <v>10.3</v>
      </c>
      <c r="U82" s="65">
        <v>9.6</v>
      </c>
      <c r="V82" s="65">
        <v>10.1</v>
      </c>
      <c r="W82" s="65">
        <v>9.9</v>
      </c>
      <c r="X82" s="66">
        <v>9.1999999999999993</v>
      </c>
    </row>
    <row r="83" spans="1:24" ht="39.6">
      <c r="A83" s="33" t="s">
        <v>51</v>
      </c>
      <c r="B83" s="34" t="s">
        <v>203</v>
      </c>
      <c r="C83" s="34" t="s">
        <v>850</v>
      </c>
      <c r="D83" s="35" t="s">
        <v>212</v>
      </c>
      <c r="E83" s="36">
        <v>2024</v>
      </c>
      <c r="F83" s="37" t="s">
        <v>206</v>
      </c>
      <c r="G83" s="38" t="s">
        <v>164</v>
      </c>
      <c r="H83" s="60">
        <v>1.03</v>
      </c>
      <c r="I83" s="65">
        <v>1.26</v>
      </c>
      <c r="J83" s="65">
        <v>1.3</v>
      </c>
      <c r="K83" s="65">
        <v>1.07</v>
      </c>
      <c r="L83" s="65">
        <v>1.27</v>
      </c>
      <c r="M83" s="65">
        <v>1.07</v>
      </c>
      <c r="N83" s="65">
        <v>1.04</v>
      </c>
      <c r="O83" s="65">
        <v>0.92</v>
      </c>
      <c r="P83" s="65">
        <v>1.23</v>
      </c>
      <c r="Q83" s="65">
        <v>1.17</v>
      </c>
      <c r="R83" s="65">
        <v>1.17</v>
      </c>
      <c r="S83" s="65">
        <v>1.08</v>
      </c>
      <c r="T83" s="65">
        <v>1.2</v>
      </c>
      <c r="U83" s="65">
        <v>1.08</v>
      </c>
      <c r="V83" s="65">
        <v>1.17</v>
      </c>
      <c r="W83" s="65">
        <v>1.06</v>
      </c>
      <c r="X83" s="66">
        <v>0.93</v>
      </c>
    </row>
    <row r="84" spans="1:24" ht="39.6">
      <c r="A84" s="33" t="s">
        <v>51</v>
      </c>
      <c r="B84" s="34" t="s">
        <v>203</v>
      </c>
      <c r="C84" s="34" t="s">
        <v>851</v>
      </c>
      <c r="D84" s="35" t="s">
        <v>213</v>
      </c>
      <c r="E84" s="36">
        <v>2023</v>
      </c>
      <c r="F84" s="37" t="s">
        <v>206</v>
      </c>
      <c r="G84" s="38" t="s">
        <v>164</v>
      </c>
      <c r="H84" s="60">
        <v>1.1599999999999999</v>
      </c>
      <c r="I84" s="65">
        <v>1.46</v>
      </c>
      <c r="J84" s="65">
        <v>1.44</v>
      </c>
      <c r="K84" s="65">
        <v>1.17</v>
      </c>
      <c r="L84" s="65">
        <v>1.37</v>
      </c>
      <c r="M84" s="65">
        <v>1.2</v>
      </c>
      <c r="N84" s="65">
        <v>1.18</v>
      </c>
      <c r="O84" s="65">
        <v>1.03</v>
      </c>
      <c r="P84" s="65">
        <v>1.35</v>
      </c>
      <c r="Q84" s="65">
        <v>1.34</v>
      </c>
      <c r="R84" s="65">
        <v>1.34</v>
      </c>
      <c r="S84" s="65">
        <v>1.22</v>
      </c>
      <c r="T84" s="65">
        <v>1.33</v>
      </c>
      <c r="U84" s="65">
        <v>1.22</v>
      </c>
      <c r="V84" s="65">
        <v>1.28</v>
      </c>
      <c r="W84" s="65">
        <v>1.3</v>
      </c>
      <c r="X84" s="66">
        <v>1.07</v>
      </c>
    </row>
    <row r="85" spans="1:24" ht="39.6">
      <c r="A85" s="33" t="s">
        <v>51</v>
      </c>
      <c r="B85" s="34" t="s">
        <v>203</v>
      </c>
      <c r="C85" s="34" t="s">
        <v>852</v>
      </c>
      <c r="D85" s="35" t="s">
        <v>214</v>
      </c>
      <c r="E85" s="36">
        <v>2022</v>
      </c>
      <c r="F85" s="37" t="s">
        <v>206</v>
      </c>
      <c r="G85" s="38" t="s">
        <v>164</v>
      </c>
      <c r="H85" s="60">
        <v>1.3</v>
      </c>
      <c r="I85" s="65">
        <v>1.5</v>
      </c>
      <c r="J85" s="65">
        <v>1.5</v>
      </c>
      <c r="K85" s="65">
        <v>1.2</v>
      </c>
      <c r="L85" s="65">
        <v>1.4</v>
      </c>
      <c r="M85" s="65">
        <v>1.3</v>
      </c>
      <c r="N85" s="65">
        <v>1.3</v>
      </c>
      <c r="O85" s="65">
        <v>1.1000000000000001</v>
      </c>
      <c r="P85" s="65">
        <v>1.5</v>
      </c>
      <c r="Q85" s="65">
        <v>1.5</v>
      </c>
      <c r="R85" s="65">
        <v>1.4</v>
      </c>
      <c r="S85" s="65">
        <v>1.3</v>
      </c>
      <c r="T85" s="65">
        <v>1.4</v>
      </c>
      <c r="U85" s="65">
        <v>1.3</v>
      </c>
      <c r="V85" s="65">
        <v>1.4</v>
      </c>
      <c r="W85" s="65">
        <v>1.3</v>
      </c>
      <c r="X85" s="66">
        <v>1.1000000000000001</v>
      </c>
    </row>
    <row r="86" spans="1:24" ht="39.6">
      <c r="A86" s="33" t="s">
        <v>51</v>
      </c>
      <c r="B86" s="34" t="s">
        <v>203</v>
      </c>
      <c r="C86" s="34" t="s">
        <v>853</v>
      </c>
      <c r="D86" s="35" t="s">
        <v>215</v>
      </c>
      <c r="E86" s="36">
        <v>2021</v>
      </c>
      <c r="F86" s="37" t="s">
        <v>206</v>
      </c>
      <c r="G86" s="38" t="s">
        <v>164</v>
      </c>
      <c r="H86" s="60">
        <v>1.1739999999999999</v>
      </c>
      <c r="I86" s="65">
        <v>1.3485</v>
      </c>
      <c r="J86" s="65">
        <v>1.3534999999999999</v>
      </c>
      <c r="K86" s="65">
        <v>1.1240000000000001</v>
      </c>
      <c r="L86" s="65">
        <v>1.2669999999999999</v>
      </c>
      <c r="M86" s="65">
        <v>1.2175</v>
      </c>
      <c r="N86" s="65">
        <v>1.1779999999999999</v>
      </c>
      <c r="O86" s="65">
        <v>1.0865</v>
      </c>
      <c r="P86" s="65">
        <v>1.3574999999999999</v>
      </c>
      <c r="Q86" s="65">
        <v>1.3240000000000001</v>
      </c>
      <c r="R86" s="65">
        <v>1.2585</v>
      </c>
      <c r="S86" s="65">
        <v>1.1955</v>
      </c>
      <c r="T86" s="65">
        <v>1.345</v>
      </c>
      <c r="U86" s="65">
        <v>1.1555</v>
      </c>
      <c r="V86" s="65">
        <v>1.298</v>
      </c>
      <c r="W86" s="65">
        <v>1.2745</v>
      </c>
      <c r="X86" s="66">
        <v>1.1020000000000001</v>
      </c>
    </row>
    <row r="87" spans="1:24" ht="39.6">
      <c r="A87" s="33" t="s">
        <v>51</v>
      </c>
      <c r="B87" s="34" t="s">
        <v>216</v>
      </c>
      <c r="C87" s="34" t="s">
        <v>854</v>
      </c>
      <c r="D87" s="35" t="s">
        <v>217</v>
      </c>
      <c r="E87" s="36">
        <v>2024</v>
      </c>
      <c r="F87" s="37" t="s">
        <v>218</v>
      </c>
      <c r="G87" s="38" t="s">
        <v>141</v>
      </c>
      <c r="H87" s="67">
        <v>79</v>
      </c>
      <c r="I87" s="40">
        <v>65</v>
      </c>
      <c r="J87" s="68">
        <v>43.9</v>
      </c>
      <c r="K87" s="68">
        <v>43.9</v>
      </c>
      <c r="L87" s="68">
        <v>63.7</v>
      </c>
      <c r="M87" s="68">
        <v>77.599999999999994</v>
      </c>
      <c r="N87" s="68">
        <v>98.6</v>
      </c>
      <c r="O87" s="68">
        <v>76.2</v>
      </c>
      <c r="P87" s="68">
        <v>83.1</v>
      </c>
      <c r="Q87" s="68">
        <v>83.9</v>
      </c>
      <c r="R87" s="68">
        <v>97.6</v>
      </c>
      <c r="S87" s="68">
        <v>84.1</v>
      </c>
      <c r="T87" s="68">
        <v>83</v>
      </c>
      <c r="U87" s="68">
        <v>89.2</v>
      </c>
      <c r="V87" s="68">
        <v>75.8</v>
      </c>
      <c r="W87" s="68">
        <v>66.2</v>
      </c>
      <c r="X87" s="69">
        <v>87.1</v>
      </c>
    </row>
    <row r="88" spans="1:24" ht="59.45">
      <c r="A88" s="33" t="s">
        <v>53</v>
      </c>
      <c r="B88" s="34" t="s">
        <v>219</v>
      </c>
      <c r="C88" s="34" t="s">
        <v>855</v>
      </c>
      <c r="D88" s="35" t="s">
        <v>220</v>
      </c>
      <c r="E88" s="36">
        <v>2025</v>
      </c>
      <c r="F88" s="37" t="s">
        <v>221</v>
      </c>
      <c r="G88" s="38" t="s">
        <v>222</v>
      </c>
      <c r="H88" s="70">
        <v>197978</v>
      </c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2"/>
    </row>
    <row r="89" spans="1:24" ht="39.6">
      <c r="A89" s="33" t="s">
        <v>53</v>
      </c>
      <c r="B89" s="34" t="s">
        <v>219</v>
      </c>
      <c r="C89" s="34" t="s">
        <v>76</v>
      </c>
      <c r="D89" s="35" t="s">
        <v>223</v>
      </c>
      <c r="E89" s="36">
        <v>2025</v>
      </c>
      <c r="F89" s="37" t="s">
        <v>221</v>
      </c>
      <c r="G89" s="38" t="s">
        <v>222</v>
      </c>
      <c r="H89" s="70">
        <v>7188</v>
      </c>
      <c r="I89" s="71">
        <v>60</v>
      </c>
      <c r="J89" s="71">
        <v>3</v>
      </c>
      <c r="K89" s="71">
        <v>3</v>
      </c>
      <c r="L89" s="71">
        <v>99</v>
      </c>
      <c r="M89" s="71">
        <v>409</v>
      </c>
      <c r="N89" s="71">
        <v>673</v>
      </c>
      <c r="O89" s="71">
        <v>820</v>
      </c>
      <c r="P89" s="71">
        <v>1561</v>
      </c>
      <c r="Q89" s="71">
        <v>1485</v>
      </c>
      <c r="R89" s="71">
        <v>387</v>
      </c>
      <c r="S89" s="71">
        <v>448</v>
      </c>
      <c r="T89" s="71">
        <v>537</v>
      </c>
      <c r="U89" s="71">
        <v>286</v>
      </c>
      <c r="V89" s="71">
        <v>357</v>
      </c>
      <c r="W89" s="71">
        <v>24</v>
      </c>
      <c r="X89" s="72">
        <v>36</v>
      </c>
    </row>
    <row r="90" spans="1:24" ht="39.6">
      <c r="A90" s="33" t="s">
        <v>53</v>
      </c>
      <c r="B90" s="34" t="s">
        <v>219</v>
      </c>
      <c r="C90" s="34" t="s">
        <v>66</v>
      </c>
      <c r="D90" s="35" t="s">
        <v>224</v>
      </c>
      <c r="E90" s="36">
        <v>2025</v>
      </c>
      <c r="F90" s="37" t="s">
        <v>221</v>
      </c>
      <c r="G90" s="38" t="s">
        <v>222</v>
      </c>
      <c r="H90" s="70">
        <v>1534</v>
      </c>
      <c r="I90" s="71">
        <v>40</v>
      </c>
      <c r="J90" s="71">
        <v>30</v>
      </c>
      <c r="K90" s="71">
        <v>17</v>
      </c>
      <c r="L90" s="71">
        <v>10</v>
      </c>
      <c r="M90" s="71">
        <v>22</v>
      </c>
      <c r="N90" s="71">
        <v>14</v>
      </c>
      <c r="O90" s="71">
        <v>0</v>
      </c>
      <c r="P90" s="71">
        <v>5</v>
      </c>
      <c r="Q90" s="71">
        <v>12</v>
      </c>
      <c r="R90" s="71">
        <v>0</v>
      </c>
      <c r="S90" s="71">
        <v>228</v>
      </c>
      <c r="T90" s="71">
        <v>3</v>
      </c>
      <c r="U90" s="71">
        <v>28</v>
      </c>
      <c r="V90" s="71">
        <v>546</v>
      </c>
      <c r="W90" s="71">
        <v>471</v>
      </c>
      <c r="X90" s="72">
        <v>108</v>
      </c>
    </row>
    <row r="91" spans="1:24" ht="39.6">
      <c r="A91" s="33" t="s">
        <v>53</v>
      </c>
      <c r="B91" s="34" t="s">
        <v>219</v>
      </c>
      <c r="C91" s="34" t="s">
        <v>77</v>
      </c>
      <c r="D91" s="35" t="s">
        <v>225</v>
      </c>
      <c r="E91" s="36">
        <v>2025</v>
      </c>
      <c r="F91" s="37" t="s">
        <v>221</v>
      </c>
      <c r="G91" s="38" t="s">
        <v>222</v>
      </c>
      <c r="H91" s="70">
        <v>15133</v>
      </c>
      <c r="I91" s="71">
        <v>43</v>
      </c>
      <c r="J91" s="71">
        <v>1231</v>
      </c>
      <c r="K91" s="71">
        <v>9103</v>
      </c>
      <c r="L91" s="71">
        <v>1722</v>
      </c>
      <c r="M91" s="71">
        <v>841</v>
      </c>
      <c r="N91" s="71">
        <v>683</v>
      </c>
      <c r="O91" s="71">
        <v>446</v>
      </c>
      <c r="P91" s="71">
        <v>785</v>
      </c>
      <c r="Q91" s="71">
        <v>27</v>
      </c>
      <c r="R91" s="71">
        <v>11</v>
      </c>
      <c r="S91" s="71">
        <v>52</v>
      </c>
      <c r="T91" s="71">
        <v>21</v>
      </c>
      <c r="U91" s="71">
        <v>6</v>
      </c>
      <c r="V91" s="71">
        <v>14</v>
      </c>
      <c r="W91" s="71">
        <v>16</v>
      </c>
      <c r="X91" s="72">
        <v>132</v>
      </c>
    </row>
    <row r="92" spans="1:24" ht="39.6">
      <c r="A92" s="33" t="s">
        <v>53</v>
      </c>
      <c r="B92" s="34" t="s">
        <v>219</v>
      </c>
      <c r="C92" s="34" t="s">
        <v>78</v>
      </c>
      <c r="D92" s="35" t="s">
        <v>226</v>
      </c>
      <c r="E92" s="36">
        <v>2025</v>
      </c>
      <c r="F92" s="37" t="s">
        <v>221</v>
      </c>
      <c r="G92" s="38" t="s">
        <v>222</v>
      </c>
      <c r="H92" s="70">
        <v>19570</v>
      </c>
      <c r="I92" s="71">
        <v>175</v>
      </c>
      <c r="J92" s="71">
        <v>360</v>
      </c>
      <c r="K92" s="71">
        <v>582</v>
      </c>
      <c r="L92" s="71">
        <v>111</v>
      </c>
      <c r="M92" s="71">
        <v>287</v>
      </c>
      <c r="N92" s="71">
        <v>1360</v>
      </c>
      <c r="O92" s="71">
        <v>8905</v>
      </c>
      <c r="P92" s="71">
        <v>880</v>
      </c>
      <c r="Q92" s="71">
        <v>1138</v>
      </c>
      <c r="R92" s="71">
        <v>487</v>
      </c>
      <c r="S92" s="71">
        <v>2398</v>
      </c>
      <c r="T92" s="71">
        <v>542</v>
      </c>
      <c r="U92" s="71">
        <v>545</v>
      </c>
      <c r="V92" s="71">
        <v>1465</v>
      </c>
      <c r="W92" s="71">
        <v>70</v>
      </c>
      <c r="X92" s="72">
        <v>265</v>
      </c>
    </row>
    <row r="93" spans="1:24" ht="39.6">
      <c r="A93" s="33" t="s">
        <v>53</v>
      </c>
      <c r="B93" s="34" t="s">
        <v>219</v>
      </c>
      <c r="C93" s="34" t="s">
        <v>79</v>
      </c>
      <c r="D93" s="35" t="s">
        <v>227</v>
      </c>
      <c r="E93" s="36">
        <v>2025</v>
      </c>
      <c r="F93" s="37" t="s">
        <v>221</v>
      </c>
      <c r="G93" s="38" t="s">
        <v>222</v>
      </c>
      <c r="H93" s="70">
        <v>8202</v>
      </c>
      <c r="I93" s="71">
        <v>33</v>
      </c>
      <c r="J93" s="71">
        <v>62</v>
      </c>
      <c r="K93" s="71">
        <v>2749</v>
      </c>
      <c r="L93" s="71">
        <v>595</v>
      </c>
      <c r="M93" s="71">
        <v>198</v>
      </c>
      <c r="N93" s="71">
        <v>833</v>
      </c>
      <c r="O93" s="71">
        <v>1450</v>
      </c>
      <c r="P93" s="71">
        <v>355</v>
      </c>
      <c r="Q93" s="71">
        <v>389</v>
      </c>
      <c r="R93" s="71">
        <v>85</v>
      </c>
      <c r="S93" s="71">
        <v>929</v>
      </c>
      <c r="T93" s="71">
        <v>200</v>
      </c>
      <c r="U93" s="71">
        <v>81</v>
      </c>
      <c r="V93" s="71">
        <v>161</v>
      </c>
      <c r="W93" s="71">
        <v>25</v>
      </c>
      <c r="X93" s="72">
        <v>57</v>
      </c>
    </row>
    <row r="94" spans="1:24" ht="39.6">
      <c r="A94" s="33" t="s">
        <v>53</v>
      </c>
      <c r="B94" s="34" t="s">
        <v>219</v>
      </c>
      <c r="C94" s="34" t="s">
        <v>80</v>
      </c>
      <c r="D94" s="35" t="s">
        <v>228</v>
      </c>
      <c r="E94" s="36">
        <v>2025</v>
      </c>
      <c r="F94" s="37" t="s">
        <v>221</v>
      </c>
      <c r="G94" s="38" t="s">
        <v>222</v>
      </c>
      <c r="H94" s="70">
        <v>12589</v>
      </c>
      <c r="I94" s="71">
        <v>234</v>
      </c>
      <c r="J94" s="71">
        <v>818</v>
      </c>
      <c r="K94" s="71">
        <v>2069</v>
      </c>
      <c r="L94" s="71">
        <v>431</v>
      </c>
      <c r="M94" s="71">
        <v>740</v>
      </c>
      <c r="N94" s="71">
        <v>947</v>
      </c>
      <c r="O94" s="71">
        <v>3874</v>
      </c>
      <c r="P94" s="71">
        <v>592</v>
      </c>
      <c r="Q94" s="71">
        <v>556</v>
      </c>
      <c r="R94" s="71">
        <v>230</v>
      </c>
      <c r="S94" s="71">
        <v>846</v>
      </c>
      <c r="T94" s="71">
        <v>479</v>
      </c>
      <c r="U94" s="71">
        <v>171</v>
      </c>
      <c r="V94" s="71">
        <v>373</v>
      </c>
      <c r="W94" s="71">
        <v>64</v>
      </c>
      <c r="X94" s="72">
        <v>165</v>
      </c>
    </row>
    <row r="95" spans="1:24" ht="39.6">
      <c r="A95" s="33" t="s">
        <v>53</v>
      </c>
      <c r="B95" s="34" t="s">
        <v>219</v>
      </c>
      <c r="C95" s="34" t="s">
        <v>81</v>
      </c>
      <c r="D95" s="35" t="s">
        <v>229</v>
      </c>
      <c r="E95" s="36">
        <v>2025</v>
      </c>
      <c r="F95" s="37" t="s">
        <v>221</v>
      </c>
      <c r="G95" s="38" t="s">
        <v>222</v>
      </c>
      <c r="H95" s="70">
        <v>20959</v>
      </c>
      <c r="I95" s="71">
        <v>121</v>
      </c>
      <c r="J95" s="71">
        <v>516</v>
      </c>
      <c r="K95" s="71">
        <v>632</v>
      </c>
      <c r="L95" s="71">
        <v>204</v>
      </c>
      <c r="M95" s="71">
        <v>516</v>
      </c>
      <c r="N95" s="71">
        <v>1364</v>
      </c>
      <c r="O95" s="71">
        <v>12909</v>
      </c>
      <c r="P95" s="71">
        <v>918</v>
      </c>
      <c r="Q95" s="71">
        <v>806</v>
      </c>
      <c r="R95" s="71">
        <v>266</v>
      </c>
      <c r="S95" s="71">
        <v>952</v>
      </c>
      <c r="T95" s="71">
        <v>623</v>
      </c>
      <c r="U95" s="71">
        <v>213</v>
      </c>
      <c r="V95" s="71">
        <v>723</v>
      </c>
      <c r="W95" s="71">
        <v>69</v>
      </c>
      <c r="X95" s="72">
        <v>127</v>
      </c>
    </row>
    <row r="96" spans="1:24" ht="39.6">
      <c r="A96" s="33" t="s">
        <v>53</v>
      </c>
      <c r="B96" s="34" t="s">
        <v>219</v>
      </c>
      <c r="C96" s="34" t="s">
        <v>82</v>
      </c>
      <c r="D96" s="35" t="s">
        <v>230</v>
      </c>
      <c r="E96" s="36">
        <v>2025</v>
      </c>
      <c r="F96" s="37" t="s">
        <v>221</v>
      </c>
      <c r="G96" s="38" t="s">
        <v>222</v>
      </c>
      <c r="H96" s="70">
        <v>4152</v>
      </c>
      <c r="I96" s="71">
        <v>67</v>
      </c>
      <c r="J96" s="71">
        <v>114</v>
      </c>
      <c r="K96" s="71">
        <v>270</v>
      </c>
      <c r="L96" s="71">
        <v>84</v>
      </c>
      <c r="M96" s="71">
        <v>218</v>
      </c>
      <c r="N96" s="71">
        <v>392</v>
      </c>
      <c r="O96" s="71">
        <v>2003</v>
      </c>
      <c r="P96" s="71">
        <v>156</v>
      </c>
      <c r="Q96" s="71">
        <v>135</v>
      </c>
      <c r="R96" s="71">
        <v>64</v>
      </c>
      <c r="S96" s="71">
        <v>230</v>
      </c>
      <c r="T96" s="71">
        <v>137</v>
      </c>
      <c r="U96" s="71">
        <v>55</v>
      </c>
      <c r="V96" s="71">
        <v>142</v>
      </c>
      <c r="W96" s="71">
        <v>21</v>
      </c>
      <c r="X96" s="72">
        <v>64</v>
      </c>
    </row>
    <row r="97" spans="1:24" ht="39.6">
      <c r="A97" s="33" t="s">
        <v>53</v>
      </c>
      <c r="B97" s="34" t="s">
        <v>219</v>
      </c>
      <c r="C97" s="34" t="s">
        <v>83</v>
      </c>
      <c r="D97" s="35" t="s">
        <v>231</v>
      </c>
      <c r="E97" s="36">
        <v>2025</v>
      </c>
      <c r="F97" s="37" t="s">
        <v>221</v>
      </c>
      <c r="G97" s="38" t="s">
        <v>222</v>
      </c>
      <c r="H97" s="70">
        <v>20872</v>
      </c>
      <c r="I97" s="71">
        <v>149</v>
      </c>
      <c r="J97" s="71">
        <v>392</v>
      </c>
      <c r="K97" s="71">
        <v>1087</v>
      </c>
      <c r="L97" s="71">
        <v>285</v>
      </c>
      <c r="M97" s="71">
        <v>553</v>
      </c>
      <c r="N97" s="71">
        <v>2210</v>
      </c>
      <c r="O97" s="71">
        <v>11896</v>
      </c>
      <c r="P97" s="71">
        <v>553</v>
      </c>
      <c r="Q97" s="71">
        <v>613</v>
      </c>
      <c r="R97" s="71">
        <v>261</v>
      </c>
      <c r="S97" s="71">
        <v>1160</v>
      </c>
      <c r="T97" s="71">
        <v>544</v>
      </c>
      <c r="U97" s="71">
        <v>224</v>
      </c>
      <c r="V97" s="71">
        <v>651</v>
      </c>
      <c r="W97" s="71">
        <v>94</v>
      </c>
      <c r="X97" s="72">
        <v>200</v>
      </c>
    </row>
    <row r="98" spans="1:24" ht="39.6">
      <c r="A98" s="33" t="s">
        <v>53</v>
      </c>
      <c r="B98" s="34" t="s">
        <v>219</v>
      </c>
      <c r="C98" s="34" t="s">
        <v>84</v>
      </c>
      <c r="D98" s="35" t="s">
        <v>232</v>
      </c>
      <c r="E98" s="36">
        <v>2025</v>
      </c>
      <c r="F98" s="37" t="s">
        <v>221</v>
      </c>
      <c r="G98" s="38" t="s">
        <v>222</v>
      </c>
      <c r="H98" s="70">
        <v>31265</v>
      </c>
      <c r="I98" s="71">
        <v>182</v>
      </c>
      <c r="J98" s="71">
        <v>449</v>
      </c>
      <c r="K98" s="71">
        <v>1471</v>
      </c>
      <c r="L98" s="71">
        <v>439</v>
      </c>
      <c r="M98" s="71">
        <v>954</v>
      </c>
      <c r="N98" s="71">
        <v>2104</v>
      </c>
      <c r="O98" s="71">
        <v>20522</v>
      </c>
      <c r="P98" s="71">
        <v>882</v>
      </c>
      <c r="Q98" s="71">
        <v>712</v>
      </c>
      <c r="R98" s="71">
        <v>280</v>
      </c>
      <c r="S98" s="71">
        <v>1489</v>
      </c>
      <c r="T98" s="71">
        <v>566</v>
      </c>
      <c r="U98" s="71">
        <v>225</v>
      </c>
      <c r="V98" s="71">
        <v>720</v>
      </c>
      <c r="W98" s="71">
        <v>65</v>
      </c>
      <c r="X98" s="72">
        <v>205</v>
      </c>
    </row>
    <row r="99" spans="1:24" ht="39.6">
      <c r="A99" s="33" t="s">
        <v>53</v>
      </c>
      <c r="B99" s="34" t="s">
        <v>219</v>
      </c>
      <c r="C99" s="34" t="s">
        <v>85</v>
      </c>
      <c r="D99" s="35" t="s">
        <v>233</v>
      </c>
      <c r="E99" s="36">
        <v>2025</v>
      </c>
      <c r="F99" s="37" t="s">
        <v>221</v>
      </c>
      <c r="G99" s="38" t="s">
        <v>222</v>
      </c>
      <c r="H99" s="70">
        <v>16816</v>
      </c>
      <c r="I99" s="71">
        <v>176</v>
      </c>
      <c r="J99" s="71">
        <v>292</v>
      </c>
      <c r="K99" s="71">
        <v>550</v>
      </c>
      <c r="L99" s="71">
        <v>250</v>
      </c>
      <c r="M99" s="71">
        <v>682</v>
      </c>
      <c r="N99" s="71">
        <v>1859</v>
      </c>
      <c r="O99" s="71">
        <v>7681</v>
      </c>
      <c r="P99" s="71">
        <v>812</v>
      </c>
      <c r="Q99" s="71">
        <v>905</v>
      </c>
      <c r="R99" s="71">
        <v>359</v>
      </c>
      <c r="S99" s="71">
        <v>1321</v>
      </c>
      <c r="T99" s="71">
        <v>743</v>
      </c>
      <c r="U99" s="71">
        <v>281</v>
      </c>
      <c r="V99" s="71">
        <v>641</v>
      </c>
      <c r="W99" s="71">
        <v>88</v>
      </c>
      <c r="X99" s="72">
        <v>176</v>
      </c>
    </row>
    <row r="100" spans="1:24" ht="39.6">
      <c r="A100" s="33" t="s">
        <v>53</v>
      </c>
      <c r="B100" s="34" t="s">
        <v>219</v>
      </c>
      <c r="C100" s="34" t="s">
        <v>86</v>
      </c>
      <c r="D100" s="35" t="s">
        <v>234</v>
      </c>
      <c r="E100" s="36">
        <v>2025</v>
      </c>
      <c r="F100" s="37" t="s">
        <v>221</v>
      </c>
      <c r="G100" s="38" t="s">
        <v>222</v>
      </c>
      <c r="H100" s="70">
        <v>29402</v>
      </c>
      <c r="I100" s="71">
        <v>338</v>
      </c>
      <c r="J100" s="71">
        <v>550</v>
      </c>
      <c r="K100" s="71">
        <v>1009</v>
      </c>
      <c r="L100" s="71">
        <v>394</v>
      </c>
      <c r="M100" s="71">
        <v>1065</v>
      </c>
      <c r="N100" s="71">
        <v>2577</v>
      </c>
      <c r="O100" s="71">
        <v>13853</v>
      </c>
      <c r="P100" s="71">
        <v>1273</v>
      </c>
      <c r="Q100" s="71">
        <v>1403</v>
      </c>
      <c r="R100" s="71">
        <v>635</v>
      </c>
      <c r="S100" s="71">
        <v>2437</v>
      </c>
      <c r="T100" s="71">
        <v>1496</v>
      </c>
      <c r="U100" s="71">
        <v>554</v>
      </c>
      <c r="V100" s="71">
        <v>1317</v>
      </c>
      <c r="W100" s="71">
        <v>205</v>
      </c>
      <c r="X100" s="72">
        <v>296</v>
      </c>
    </row>
    <row r="101" spans="1:24" ht="39.6">
      <c r="A101" s="33" t="s">
        <v>53</v>
      </c>
      <c r="B101" s="34" t="s">
        <v>219</v>
      </c>
      <c r="C101" s="34" t="s">
        <v>87</v>
      </c>
      <c r="D101" s="35" t="s">
        <v>235</v>
      </c>
      <c r="E101" s="36">
        <v>2025</v>
      </c>
      <c r="F101" s="37" t="s">
        <v>221</v>
      </c>
      <c r="G101" s="38" t="s">
        <v>222</v>
      </c>
      <c r="H101" s="70">
        <v>10296</v>
      </c>
      <c r="I101" s="71">
        <v>235</v>
      </c>
      <c r="J101" s="71">
        <v>304</v>
      </c>
      <c r="K101" s="71">
        <v>311</v>
      </c>
      <c r="L101" s="71">
        <v>173</v>
      </c>
      <c r="M101" s="71">
        <v>298</v>
      </c>
      <c r="N101" s="71">
        <v>1116</v>
      </c>
      <c r="O101" s="71">
        <v>4533</v>
      </c>
      <c r="P101" s="71">
        <v>343</v>
      </c>
      <c r="Q101" s="71">
        <v>404</v>
      </c>
      <c r="R101" s="71">
        <v>198</v>
      </c>
      <c r="S101" s="71">
        <v>732</v>
      </c>
      <c r="T101" s="71">
        <v>499</v>
      </c>
      <c r="U101" s="71">
        <v>212</v>
      </c>
      <c r="V101" s="71">
        <v>440</v>
      </c>
      <c r="W101" s="71">
        <v>222</v>
      </c>
      <c r="X101" s="72">
        <v>276</v>
      </c>
    </row>
    <row r="102" spans="1:24" ht="39.6">
      <c r="A102" s="33" t="s">
        <v>53</v>
      </c>
      <c r="B102" s="34" t="s">
        <v>236</v>
      </c>
      <c r="C102" s="34" t="s">
        <v>76</v>
      </c>
      <c r="D102" s="35" t="s">
        <v>237</v>
      </c>
      <c r="E102" s="36">
        <v>2025</v>
      </c>
      <c r="F102" s="37" t="s">
        <v>113</v>
      </c>
      <c r="G102" s="38" t="s">
        <v>222</v>
      </c>
      <c r="H102" s="47">
        <v>3.6307064421299301E-2</v>
      </c>
      <c r="I102" s="53">
        <v>3.2379924446842998E-2</v>
      </c>
      <c r="J102" s="53">
        <v>5.8582308142940799E-4</v>
      </c>
      <c r="K102" s="53">
        <v>1.51110663375812E-4</v>
      </c>
      <c r="L102" s="53">
        <v>2.0637898686679201E-2</v>
      </c>
      <c r="M102" s="53">
        <v>6.02978033318591E-2</v>
      </c>
      <c r="N102" s="53">
        <v>4.1718323828415602E-2</v>
      </c>
      <c r="O102" s="53">
        <v>9.2246771363002304E-3</v>
      </c>
      <c r="P102" s="53">
        <v>0.17125617114646199</v>
      </c>
      <c r="Q102" s="53">
        <v>0.172976121141526</v>
      </c>
      <c r="R102" s="53">
        <v>0.118602513024824</v>
      </c>
      <c r="S102" s="53">
        <v>3.3882922402057203E-2</v>
      </c>
      <c r="T102" s="53">
        <v>8.4037558685446004E-2</v>
      </c>
      <c r="U102" s="53">
        <v>9.9271086428323496E-2</v>
      </c>
      <c r="V102" s="53">
        <v>4.72847682119205E-2</v>
      </c>
      <c r="W102" s="53">
        <v>1.6736401673640201E-2</v>
      </c>
      <c r="X102" s="54">
        <v>1.7085904129093499E-2</v>
      </c>
    </row>
    <row r="103" spans="1:24" ht="39.6">
      <c r="A103" s="33" t="s">
        <v>53</v>
      </c>
      <c r="B103" s="34" t="s">
        <v>236</v>
      </c>
      <c r="C103" s="34" t="s">
        <v>66</v>
      </c>
      <c r="D103" s="35" t="s">
        <v>238</v>
      </c>
      <c r="E103" s="36">
        <v>2025</v>
      </c>
      <c r="F103" s="37" t="s">
        <v>113</v>
      </c>
      <c r="G103" s="38" t="s">
        <v>222</v>
      </c>
      <c r="H103" s="47">
        <v>7.74833567366071E-3</v>
      </c>
      <c r="I103" s="53">
        <v>2.1586616297895302E-2</v>
      </c>
      <c r="J103" s="53">
        <v>5.8582308142940799E-3</v>
      </c>
      <c r="K103" s="53">
        <v>8.5629375912960298E-4</v>
      </c>
      <c r="L103" s="53">
        <v>2.0846362309776901E-3</v>
      </c>
      <c r="M103" s="53">
        <v>3.24340262420758E-3</v>
      </c>
      <c r="N103" s="53">
        <v>8.6784031738160205E-4</v>
      </c>
      <c r="O103" s="53">
        <v>0</v>
      </c>
      <c r="P103" s="53">
        <v>5.4854635216675801E-4</v>
      </c>
      <c r="Q103" s="53">
        <v>1.3977868375072799E-3</v>
      </c>
      <c r="R103" s="53">
        <v>0</v>
      </c>
      <c r="S103" s="53">
        <v>1.7243987293904101E-2</v>
      </c>
      <c r="T103" s="53">
        <v>4.6948356807511698E-4</v>
      </c>
      <c r="U103" s="53">
        <v>9.7188476223533504E-3</v>
      </c>
      <c r="V103" s="53">
        <v>7.2317880794702E-2</v>
      </c>
      <c r="W103" s="53">
        <v>0.328451882845188</v>
      </c>
      <c r="X103" s="54">
        <v>5.1257712387280503E-2</v>
      </c>
    </row>
    <row r="104" spans="1:24" ht="39.6">
      <c r="A104" s="33" t="s">
        <v>53</v>
      </c>
      <c r="B104" s="34" t="s">
        <v>236</v>
      </c>
      <c r="C104" s="34" t="s">
        <v>77</v>
      </c>
      <c r="D104" s="35" t="s">
        <v>239</v>
      </c>
      <c r="E104" s="36">
        <v>2025</v>
      </c>
      <c r="F104" s="37" t="s">
        <v>113</v>
      </c>
      <c r="G104" s="38" t="s">
        <v>222</v>
      </c>
      <c r="H104" s="47">
        <v>7.6437786016628095E-2</v>
      </c>
      <c r="I104" s="53">
        <v>2.3205612520237499E-2</v>
      </c>
      <c r="J104" s="53">
        <v>0.24038273774653399</v>
      </c>
      <c r="K104" s="53">
        <v>0.45852012290333999</v>
      </c>
      <c r="L104" s="53">
        <v>0.35897435897435898</v>
      </c>
      <c r="M104" s="53">
        <v>0.123986436679935</v>
      </c>
      <c r="N104" s="53">
        <v>4.2338209769402398E-2</v>
      </c>
      <c r="O104" s="53">
        <v>5.0173243936462199E-3</v>
      </c>
      <c r="P104" s="53">
        <v>8.6121777290181001E-2</v>
      </c>
      <c r="Q104" s="53">
        <v>3.1450203843913799E-3</v>
      </c>
      <c r="R104" s="53">
        <v>3.3711308611706998E-3</v>
      </c>
      <c r="S104" s="53">
        <v>3.9328392073816401E-3</v>
      </c>
      <c r="T104" s="53">
        <v>3.2863849765258201E-3</v>
      </c>
      <c r="U104" s="53">
        <v>2.08261020479E-3</v>
      </c>
      <c r="V104" s="53">
        <v>1.8543046357615901E-3</v>
      </c>
      <c r="W104" s="53">
        <v>1.1157601115760101E-2</v>
      </c>
      <c r="X104" s="54">
        <v>6.26483151400095E-2</v>
      </c>
    </row>
    <row r="105" spans="1:24" ht="39.6">
      <c r="A105" s="33" t="s">
        <v>53</v>
      </c>
      <c r="B105" s="34" t="s">
        <v>236</v>
      </c>
      <c r="C105" s="34" t="s">
        <v>78</v>
      </c>
      <c r="D105" s="35" t="s">
        <v>240</v>
      </c>
      <c r="E105" s="36">
        <v>2025</v>
      </c>
      <c r="F105" s="37" t="s">
        <v>113</v>
      </c>
      <c r="G105" s="38" t="s">
        <v>222</v>
      </c>
      <c r="H105" s="70">
        <v>9.8849367101395094E-2</v>
      </c>
      <c r="I105" s="53">
        <v>9.4441446303292001E-2</v>
      </c>
      <c r="J105" s="53">
        <v>7.0298769771529004E-2</v>
      </c>
      <c r="K105" s="53">
        <v>2.9315468694907601E-2</v>
      </c>
      <c r="L105" s="53">
        <v>2.31394621638524E-2</v>
      </c>
      <c r="M105" s="53">
        <v>4.2311661506707898E-2</v>
      </c>
      <c r="N105" s="53">
        <v>8.4304487974212694E-2</v>
      </c>
      <c r="O105" s="53">
        <v>0.100177743778968</v>
      </c>
      <c r="P105" s="53">
        <v>9.6544157981349396E-2</v>
      </c>
      <c r="Q105" s="53">
        <v>0.13255678509027399</v>
      </c>
      <c r="R105" s="53">
        <v>0.14924915721728499</v>
      </c>
      <c r="S105" s="53">
        <v>0.181364392678869</v>
      </c>
      <c r="T105" s="53">
        <v>8.4820031298904502E-2</v>
      </c>
      <c r="U105" s="53">
        <v>0.18917042693509201</v>
      </c>
      <c r="V105" s="53">
        <v>0.194039735099338</v>
      </c>
      <c r="W105" s="53">
        <v>4.8814504881450498E-2</v>
      </c>
      <c r="X105" s="54">
        <v>0.12577123872804899</v>
      </c>
    </row>
    <row r="106" spans="1:24" ht="40.9">
      <c r="A106" s="33" t="s">
        <v>53</v>
      </c>
      <c r="B106" s="34" t="s">
        <v>236</v>
      </c>
      <c r="C106" s="34" t="s">
        <v>79</v>
      </c>
      <c r="D106" s="35" t="s">
        <v>241</v>
      </c>
      <c r="E106" s="36">
        <v>2025</v>
      </c>
      <c r="F106" s="37" t="s">
        <v>113</v>
      </c>
      <c r="G106" s="38" t="s">
        <v>222</v>
      </c>
      <c r="H106" s="47">
        <v>4.14288456293124E-2</v>
      </c>
      <c r="I106" s="53">
        <v>1.7808958445763599E-2</v>
      </c>
      <c r="J106" s="53">
        <v>1.2107010349541101E-2</v>
      </c>
      <c r="K106" s="53">
        <v>0.138467737873369</v>
      </c>
      <c r="L106" s="53">
        <v>0.124035855743173</v>
      </c>
      <c r="M106" s="53">
        <v>2.91906236178682E-2</v>
      </c>
      <c r="N106" s="53">
        <v>5.1636498884205302E-2</v>
      </c>
      <c r="O106" s="53">
        <v>1.63119290824821E-2</v>
      </c>
      <c r="P106" s="53">
        <v>3.8946791003839798E-2</v>
      </c>
      <c r="Q106" s="53">
        <v>4.5311589982527697E-2</v>
      </c>
      <c r="R106" s="53">
        <v>2.60496475635918E-2</v>
      </c>
      <c r="S106" s="53">
        <v>7.0261685070337296E-2</v>
      </c>
      <c r="T106" s="53">
        <v>3.12989045383412E-2</v>
      </c>
      <c r="U106" s="53">
        <v>2.8115237764664999E-2</v>
      </c>
      <c r="V106" s="53">
        <v>2.1324503311258299E-2</v>
      </c>
      <c r="W106" s="53">
        <v>1.7433751743375199E-2</v>
      </c>
      <c r="X106" s="54">
        <v>2.70526815377314E-2</v>
      </c>
    </row>
    <row r="107" spans="1:24" ht="39.6">
      <c r="A107" s="33" t="s">
        <v>53</v>
      </c>
      <c r="B107" s="34" t="s">
        <v>236</v>
      </c>
      <c r="C107" s="34" t="s">
        <v>80</v>
      </c>
      <c r="D107" s="35" t="s">
        <v>242</v>
      </c>
      <c r="E107" s="36">
        <v>2025</v>
      </c>
      <c r="F107" s="37" t="s">
        <v>113</v>
      </c>
      <c r="G107" s="38" t="s">
        <v>222</v>
      </c>
      <c r="H107" s="47">
        <v>6.3587873400074796E-2</v>
      </c>
      <c r="I107" s="53">
        <v>0.12628170534268801</v>
      </c>
      <c r="J107" s="53">
        <v>0.15973442686975201</v>
      </c>
      <c r="K107" s="53">
        <v>0.104215987508185</v>
      </c>
      <c r="L107" s="53">
        <v>8.9847821555138596E-2</v>
      </c>
      <c r="M107" s="53">
        <v>0.109096270086982</v>
      </c>
      <c r="N107" s="53">
        <v>5.8703198611455502E-2</v>
      </c>
      <c r="O107" s="53">
        <v>4.3580974665886701E-2</v>
      </c>
      <c r="P107" s="53">
        <v>6.4947888096544198E-2</v>
      </c>
      <c r="Q107" s="53">
        <v>6.4764123471170706E-2</v>
      </c>
      <c r="R107" s="53">
        <v>7.0487281642660105E-2</v>
      </c>
      <c r="S107" s="53">
        <v>6.39842686431705E-2</v>
      </c>
      <c r="T107" s="53">
        <v>7.4960876369327106E-2</v>
      </c>
      <c r="U107" s="53">
        <v>5.93543908365151E-2</v>
      </c>
      <c r="V107" s="53">
        <v>4.94039735099338E-2</v>
      </c>
      <c r="W107" s="53">
        <v>4.4630404463040403E-2</v>
      </c>
      <c r="X107" s="54">
        <v>7.8310393925011906E-2</v>
      </c>
    </row>
    <row r="108" spans="1:24" ht="39.6">
      <c r="A108" s="33" t="s">
        <v>53</v>
      </c>
      <c r="B108" s="34" t="s">
        <v>236</v>
      </c>
      <c r="C108" s="34" t="s">
        <v>81</v>
      </c>
      <c r="D108" s="35" t="s">
        <v>243</v>
      </c>
      <c r="E108" s="36">
        <v>2025</v>
      </c>
      <c r="F108" s="37" t="s">
        <v>113</v>
      </c>
      <c r="G108" s="38" t="s">
        <v>222</v>
      </c>
      <c r="H108" s="70">
        <v>0.105865298164443</v>
      </c>
      <c r="I108" s="53">
        <v>6.5299514301133302E-2</v>
      </c>
      <c r="J108" s="53">
        <v>0.100761570005858</v>
      </c>
      <c r="K108" s="53">
        <v>3.1833979751171103E-2</v>
      </c>
      <c r="L108" s="53">
        <v>4.2526579111944997E-2</v>
      </c>
      <c r="M108" s="53">
        <v>7.6072534276868595E-2</v>
      </c>
      <c r="N108" s="53">
        <v>8.4552442350607507E-2</v>
      </c>
      <c r="O108" s="53">
        <v>0.14522116725914599</v>
      </c>
      <c r="P108" s="53">
        <v>0.100713110257817</v>
      </c>
      <c r="Q108" s="53">
        <v>9.3884682585905696E-2</v>
      </c>
      <c r="R108" s="53">
        <v>8.1520073551946098E-2</v>
      </c>
      <c r="S108" s="53">
        <v>7.2001210104371494E-2</v>
      </c>
      <c r="T108" s="53">
        <v>9.7496087636932696E-2</v>
      </c>
      <c r="U108" s="53">
        <v>7.3932662270045094E-2</v>
      </c>
      <c r="V108" s="53">
        <v>9.5761589403973502E-2</v>
      </c>
      <c r="W108" s="53">
        <v>4.8117154811715503E-2</v>
      </c>
      <c r="X108" s="54">
        <v>6.0275272899857603E-2</v>
      </c>
    </row>
    <row r="109" spans="1:24" ht="39.6">
      <c r="A109" s="33" t="s">
        <v>53</v>
      </c>
      <c r="B109" s="34" t="s">
        <v>236</v>
      </c>
      <c r="C109" s="34" t="s">
        <v>82</v>
      </c>
      <c r="D109" s="35" t="s">
        <v>244</v>
      </c>
      <c r="E109" s="36">
        <v>2025</v>
      </c>
      <c r="F109" s="37" t="s">
        <v>113</v>
      </c>
      <c r="G109" s="38" t="s">
        <v>222</v>
      </c>
      <c r="H109" s="47">
        <v>2.0972027194940901E-2</v>
      </c>
      <c r="I109" s="53">
        <v>3.6157582298974603E-2</v>
      </c>
      <c r="J109" s="53">
        <v>2.2261277094317501E-2</v>
      </c>
      <c r="K109" s="53">
        <v>1.3599959703823101E-2</v>
      </c>
      <c r="L109" s="53">
        <v>1.7510944340212602E-2</v>
      </c>
      <c r="M109" s="53">
        <v>3.2139171458056899E-2</v>
      </c>
      <c r="N109" s="53">
        <v>2.42995288866849E-2</v>
      </c>
      <c r="O109" s="53">
        <v>2.2532961346352898E-2</v>
      </c>
      <c r="P109" s="53">
        <v>1.7114646187602899E-2</v>
      </c>
      <c r="Q109" s="53">
        <v>1.5725101921956901E-2</v>
      </c>
      <c r="R109" s="53">
        <v>1.9613852283174998E-2</v>
      </c>
      <c r="S109" s="53">
        <v>1.7395250340341901E-2</v>
      </c>
      <c r="T109" s="53">
        <v>2.14397496087637E-2</v>
      </c>
      <c r="U109" s="53">
        <v>1.90905935439084E-2</v>
      </c>
      <c r="V109" s="53">
        <v>1.8807947019867599E-2</v>
      </c>
      <c r="W109" s="53">
        <v>1.46443514644351E-2</v>
      </c>
      <c r="X109" s="54">
        <v>3.0374940673944001E-2</v>
      </c>
    </row>
    <row r="110" spans="1:24" ht="40.9">
      <c r="A110" s="33" t="s">
        <v>53</v>
      </c>
      <c r="B110" s="34" t="s">
        <v>236</v>
      </c>
      <c r="C110" s="34" t="s">
        <v>83</v>
      </c>
      <c r="D110" s="35" t="s">
        <v>245</v>
      </c>
      <c r="E110" s="36">
        <v>2025</v>
      </c>
      <c r="F110" s="37" t="s">
        <v>113</v>
      </c>
      <c r="G110" s="38" t="s">
        <v>222</v>
      </c>
      <c r="H110" s="70">
        <v>0.105425855398075</v>
      </c>
      <c r="I110" s="53">
        <v>8.041014570966E-2</v>
      </c>
      <c r="J110" s="53">
        <v>7.6547549306776E-2</v>
      </c>
      <c r="K110" s="53">
        <v>5.4752430363169298E-2</v>
      </c>
      <c r="L110" s="53">
        <v>5.9412132582864298E-2</v>
      </c>
      <c r="M110" s="53">
        <v>8.1527347781217799E-2</v>
      </c>
      <c r="N110" s="53">
        <v>0.136994792958096</v>
      </c>
      <c r="O110" s="53">
        <v>0.133825316113936</v>
      </c>
      <c r="P110" s="53">
        <v>6.06692265496434E-2</v>
      </c>
      <c r="Q110" s="53">
        <v>7.1403610949330204E-2</v>
      </c>
      <c r="R110" s="53">
        <v>7.9987741342323004E-2</v>
      </c>
      <c r="S110" s="53">
        <v>8.7732566933898096E-2</v>
      </c>
      <c r="T110" s="53">
        <v>8.5133020344287894E-2</v>
      </c>
      <c r="U110" s="53">
        <v>7.7750780978826803E-2</v>
      </c>
      <c r="V110" s="53">
        <v>8.6225165562913902E-2</v>
      </c>
      <c r="W110" s="53">
        <v>6.5550906555090702E-2</v>
      </c>
      <c r="X110" s="54">
        <v>9.4921689606074999E-2</v>
      </c>
    </row>
    <row r="111" spans="1:24" ht="40.9">
      <c r="A111" s="33" t="s">
        <v>53</v>
      </c>
      <c r="B111" s="34" t="s">
        <v>236</v>
      </c>
      <c r="C111" s="34" t="s">
        <v>84</v>
      </c>
      <c r="D111" s="35" t="s">
        <v>246</v>
      </c>
      <c r="E111" s="36">
        <v>2025</v>
      </c>
      <c r="F111" s="37" t="s">
        <v>113</v>
      </c>
      <c r="G111" s="38" t="s">
        <v>222</v>
      </c>
      <c r="H111" s="47">
        <v>0.15792158724706801</v>
      </c>
      <c r="I111" s="53">
        <v>9.8219104155423606E-2</v>
      </c>
      <c r="J111" s="53">
        <v>8.7678187853934803E-2</v>
      </c>
      <c r="K111" s="53">
        <v>7.4094595275273303E-2</v>
      </c>
      <c r="L111" s="53">
        <v>9.15155305399208E-2</v>
      </c>
      <c r="M111" s="53">
        <v>0.140645731977001</v>
      </c>
      <c r="N111" s="53">
        <v>0.13042400198363499</v>
      </c>
      <c r="O111" s="53">
        <v>0.230864419745309</v>
      </c>
      <c r="P111" s="53">
        <v>9.6763576522216094E-2</v>
      </c>
      <c r="Q111" s="53">
        <v>8.2935352358765299E-2</v>
      </c>
      <c r="R111" s="53">
        <v>8.5810603738890601E-2</v>
      </c>
      <c r="S111" s="53">
        <v>0.11261533807290899</v>
      </c>
      <c r="T111" s="53">
        <v>8.8575899843505501E-2</v>
      </c>
      <c r="U111" s="53">
        <v>7.80978826796251E-2</v>
      </c>
      <c r="V111" s="53">
        <v>9.5364238410596006E-2</v>
      </c>
      <c r="W111" s="53">
        <v>4.5327754532775502E-2</v>
      </c>
      <c r="X111" s="54">
        <v>9.7294731846226903E-2</v>
      </c>
    </row>
    <row r="112" spans="1:24" ht="40.9">
      <c r="A112" s="33" t="s">
        <v>53</v>
      </c>
      <c r="B112" s="34" t="s">
        <v>236</v>
      </c>
      <c r="C112" s="34" t="s">
        <v>85</v>
      </c>
      <c r="D112" s="35" t="s">
        <v>247</v>
      </c>
      <c r="E112" s="36">
        <v>2025</v>
      </c>
      <c r="F112" s="37" t="s">
        <v>113</v>
      </c>
      <c r="G112" s="38" t="s">
        <v>222</v>
      </c>
      <c r="H112" s="70">
        <v>8.4938730566022497E-2</v>
      </c>
      <c r="I112" s="53">
        <v>9.4981111710739294E-2</v>
      </c>
      <c r="J112" s="53">
        <v>5.7020113259129097E-2</v>
      </c>
      <c r="K112" s="53">
        <v>2.7703621618898899E-2</v>
      </c>
      <c r="L112" s="53">
        <v>5.2115905774442403E-2</v>
      </c>
      <c r="M112" s="53">
        <v>0.10054548135043501</v>
      </c>
      <c r="N112" s="53">
        <v>0.115236796429457</v>
      </c>
      <c r="O112" s="53">
        <v>8.6408225712100106E-2</v>
      </c>
      <c r="P112" s="53">
        <v>8.9083927591881495E-2</v>
      </c>
      <c r="Q112" s="53">
        <v>0.105416423995341</v>
      </c>
      <c r="R112" s="53">
        <v>0.11002145265093501</v>
      </c>
      <c r="S112" s="53">
        <v>9.99092421721373E-2</v>
      </c>
      <c r="T112" s="53">
        <v>0.116275430359937</v>
      </c>
      <c r="U112" s="53">
        <v>9.7535577924331804E-2</v>
      </c>
      <c r="V112" s="53">
        <v>8.4900662251655601E-2</v>
      </c>
      <c r="W112" s="53">
        <v>6.13668061366806E-2</v>
      </c>
      <c r="X112" s="54">
        <v>8.3531086853345995E-2</v>
      </c>
    </row>
    <row r="113" spans="1:24" ht="39.6">
      <c r="A113" s="33" t="s">
        <v>53</v>
      </c>
      <c r="B113" s="34" t="s">
        <v>236</v>
      </c>
      <c r="C113" s="34" t="s">
        <v>86</v>
      </c>
      <c r="D113" s="35" t="s">
        <v>248</v>
      </c>
      <c r="E113" s="36">
        <v>2025</v>
      </c>
      <c r="F113" s="37" t="s">
        <v>113</v>
      </c>
      <c r="G113" s="38" t="s">
        <v>222</v>
      </c>
      <c r="H113" s="47">
        <v>0.148511450767257</v>
      </c>
      <c r="I113" s="53">
        <v>0.18240690771721499</v>
      </c>
      <c r="J113" s="53">
        <v>0.10740089826205799</v>
      </c>
      <c r="K113" s="53">
        <v>5.0823553115398198E-2</v>
      </c>
      <c r="L113" s="53">
        <v>8.2134667500521202E-2</v>
      </c>
      <c r="M113" s="53">
        <v>0.157010172490049</v>
      </c>
      <c r="N113" s="53">
        <v>0.15974460699231299</v>
      </c>
      <c r="O113" s="53">
        <v>0.15584079557215499</v>
      </c>
      <c r="P113" s="53">
        <v>0.139659901261657</v>
      </c>
      <c r="Q113" s="53">
        <v>0.16342457775189301</v>
      </c>
      <c r="R113" s="53">
        <v>0.194606190622127</v>
      </c>
      <c r="S113" s="53">
        <v>0.184314022084405</v>
      </c>
      <c r="T113" s="53">
        <v>0.23411580594679199</v>
      </c>
      <c r="U113" s="53">
        <v>0.19229434224227701</v>
      </c>
      <c r="V113" s="53">
        <v>0.17443708609271499</v>
      </c>
      <c r="W113" s="53">
        <v>0.142956764295676</v>
      </c>
      <c r="X113" s="54">
        <v>0.14048410061699099</v>
      </c>
    </row>
    <row r="114" spans="1:24" ht="39.6">
      <c r="A114" s="33" t="s">
        <v>53</v>
      </c>
      <c r="B114" s="34" t="s">
        <v>236</v>
      </c>
      <c r="C114" s="34" t="s">
        <v>87</v>
      </c>
      <c r="D114" s="35" t="s">
        <v>249</v>
      </c>
      <c r="E114" s="36">
        <v>2025</v>
      </c>
      <c r="F114" s="37" t="s">
        <v>113</v>
      </c>
      <c r="G114" s="38" t="s">
        <v>222</v>
      </c>
      <c r="H114" s="70">
        <v>5.20057784198244E-2</v>
      </c>
      <c r="I114" s="53">
        <v>0.126821370750135</v>
      </c>
      <c r="J114" s="53">
        <v>5.93634055848467E-2</v>
      </c>
      <c r="K114" s="53">
        <v>1.5665138769959199E-2</v>
      </c>
      <c r="L114" s="53">
        <v>3.60642067959141E-2</v>
      </c>
      <c r="M114" s="53">
        <v>4.3933362818811703E-2</v>
      </c>
      <c r="N114" s="53">
        <v>6.9179271014133403E-2</v>
      </c>
      <c r="O114" s="53">
        <v>5.0994465193718197E-2</v>
      </c>
      <c r="P114" s="53">
        <v>3.7630279758639598E-2</v>
      </c>
      <c r="Q114" s="53">
        <v>4.7058823529411799E-2</v>
      </c>
      <c r="R114" s="53">
        <v>6.0680355501072598E-2</v>
      </c>
      <c r="S114" s="53">
        <v>5.5362274996218402E-2</v>
      </c>
      <c r="T114" s="53">
        <v>7.8090766823161198E-2</v>
      </c>
      <c r="U114" s="53">
        <v>7.3585560569246797E-2</v>
      </c>
      <c r="V114" s="53">
        <v>5.82781456953642E-2</v>
      </c>
      <c r="W114" s="53">
        <v>0.15481171548117201</v>
      </c>
      <c r="X114" s="54">
        <v>0.13099193165638301</v>
      </c>
    </row>
    <row r="115" spans="1:24" ht="20.45">
      <c r="A115" s="33" t="s">
        <v>53</v>
      </c>
      <c r="B115" s="34" t="s">
        <v>250</v>
      </c>
      <c r="C115" s="34" t="s">
        <v>856</v>
      </c>
      <c r="D115" s="35" t="s">
        <v>251</v>
      </c>
      <c r="E115" s="36">
        <v>2025</v>
      </c>
      <c r="F115" s="37" t="s">
        <v>252</v>
      </c>
      <c r="G115" s="38" t="s">
        <v>222</v>
      </c>
      <c r="H115" s="70">
        <v>17680</v>
      </c>
      <c r="I115" s="71">
        <v>10722</v>
      </c>
      <c r="J115" s="71">
        <v>24591</v>
      </c>
      <c r="K115" s="71">
        <v>57310</v>
      </c>
      <c r="L115" s="71">
        <v>33870</v>
      </c>
      <c r="M115" s="71">
        <v>13476</v>
      </c>
      <c r="N115" s="71">
        <v>12790</v>
      </c>
      <c r="O115" s="71">
        <v>15898</v>
      </c>
      <c r="P115" s="71">
        <v>14940</v>
      </c>
      <c r="Q115" s="71">
        <v>11009</v>
      </c>
      <c r="R115" s="71">
        <v>9413</v>
      </c>
      <c r="S115" s="71">
        <v>12045</v>
      </c>
      <c r="T115" s="71">
        <v>9336</v>
      </c>
      <c r="U115" s="71">
        <v>10830</v>
      </c>
      <c r="V115" s="71">
        <v>12658</v>
      </c>
      <c r="W115" s="71">
        <v>19235</v>
      </c>
      <c r="X115" s="72">
        <v>16046</v>
      </c>
    </row>
    <row r="116" spans="1:24" ht="20.45">
      <c r="A116" s="33" t="s">
        <v>53</v>
      </c>
      <c r="B116" s="34" t="s">
        <v>250</v>
      </c>
      <c r="C116" s="34" t="s">
        <v>857</v>
      </c>
      <c r="D116" s="35" t="s">
        <v>253</v>
      </c>
      <c r="E116" s="36">
        <v>2025</v>
      </c>
      <c r="F116" s="37" t="s">
        <v>252</v>
      </c>
      <c r="G116" s="38" t="s">
        <v>222</v>
      </c>
      <c r="H116" s="70">
        <v>10032</v>
      </c>
      <c r="I116" s="71">
        <v>6530</v>
      </c>
      <c r="J116" s="71">
        <v>7209</v>
      </c>
      <c r="K116" s="71">
        <v>10256</v>
      </c>
      <c r="L116" s="71">
        <v>8744</v>
      </c>
      <c r="M116" s="71">
        <v>8425</v>
      </c>
      <c r="N116" s="71">
        <v>9118</v>
      </c>
      <c r="O116" s="71">
        <v>12159</v>
      </c>
      <c r="P116" s="71">
        <v>7605</v>
      </c>
      <c r="Q116" s="71">
        <v>6998</v>
      </c>
      <c r="R116" s="71">
        <v>6866</v>
      </c>
      <c r="S116" s="71">
        <v>8066</v>
      </c>
      <c r="T116" s="71">
        <v>7359</v>
      </c>
      <c r="U116" s="71">
        <v>7498</v>
      </c>
      <c r="V116" s="71">
        <v>9183</v>
      </c>
      <c r="W116" s="71">
        <v>10044</v>
      </c>
      <c r="X116" s="72">
        <v>10810</v>
      </c>
    </row>
    <row r="117" spans="1:24" ht="20.45">
      <c r="A117" s="33" t="s">
        <v>53</v>
      </c>
      <c r="B117" s="34" t="s">
        <v>250</v>
      </c>
      <c r="C117" s="34" t="s">
        <v>858</v>
      </c>
      <c r="D117" s="35" t="s">
        <v>254</v>
      </c>
      <c r="E117" s="36">
        <v>2024</v>
      </c>
      <c r="F117" s="37" t="s">
        <v>252</v>
      </c>
      <c r="G117" s="38" t="s">
        <v>222</v>
      </c>
      <c r="H117" s="70">
        <v>14804</v>
      </c>
      <c r="I117" s="71">
        <v>9855</v>
      </c>
      <c r="J117" s="71">
        <v>24808</v>
      </c>
      <c r="K117" s="71">
        <v>49062</v>
      </c>
      <c r="L117" s="71">
        <v>24803</v>
      </c>
      <c r="M117" s="71">
        <v>12468</v>
      </c>
      <c r="N117" s="71">
        <v>11792</v>
      </c>
      <c r="O117" s="71">
        <v>14931</v>
      </c>
      <c r="P117" s="71">
        <v>14678</v>
      </c>
      <c r="Q117" s="71">
        <v>10979</v>
      </c>
      <c r="R117" s="71">
        <v>8964</v>
      </c>
      <c r="S117" s="71">
        <v>11836</v>
      </c>
      <c r="T117" s="71">
        <v>8875</v>
      </c>
      <c r="U117" s="71">
        <v>10343</v>
      </c>
      <c r="V117" s="71">
        <v>11277</v>
      </c>
      <c r="W117" s="71">
        <v>15754</v>
      </c>
      <c r="X117" s="72">
        <v>16142</v>
      </c>
    </row>
    <row r="118" spans="1:24" ht="20.45">
      <c r="A118" s="33" t="s">
        <v>53</v>
      </c>
      <c r="B118" s="34" t="s">
        <v>250</v>
      </c>
      <c r="C118" s="34" t="s">
        <v>859</v>
      </c>
      <c r="D118" s="35" t="s">
        <v>255</v>
      </c>
      <c r="E118" s="36">
        <v>2024</v>
      </c>
      <c r="F118" s="37" t="s">
        <v>252</v>
      </c>
      <c r="G118" s="38" t="s">
        <v>222</v>
      </c>
      <c r="H118" s="70">
        <v>9554</v>
      </c>
      <c r="I118" s="71">
        <v>6097</v>
      </c>
      <c r="J118" s="71">
        <v>6763</v>
      </c>
      <c r="K118" s="71">
        <v>9613</v>
      </c>
      <c r="L118" s="71">
        <v>8338</v>
      </c>
      <c r="M118" s="71">
        <v>8018</v>
      </c>
      <c r="N118" s="71">
        <v>8736</v>
      </c>
      <c r="O118" s="71">
        <v>11491</v>
      </c>
      <c r="P118" s="71">
        <v>7322</v>
      </c>
      <c r="Q118" s="71">
        <v>6695</v>
      </c>
      <c r="R118" s="71">
        <v>6614</v>
      </c>
      <c r="S118" s="71">
        <v>7715</v>
      </c>
      <c r="T118" s="71">
        <v>7097</v>
      </c>
      <c r="U118" s="71">
        <v>7345</v>
      </c>
      <c r="V118" s="71">
        <v>8772</v>
      </c>
      <c r="W118" s="71">
        <v>9712</v>
      </c>
      <c r="X118" s="72">
        <v>10940</v>
      </c>
    </row>
    <row r="119" spans="1:24" ht="20.45">
      <c r="A119" s="33" t="s">
        <v>53</v>
      </c>
      <c r="B119" s="34" t="s">
        <v>256</v>
      </c>
      <c r="C119" s="34" t="s">
        <v>860</v>
      </c>
      <c r="D119" s="35" t="s">
        <v>36</v>
      </c>
      <c r="E119" s="36">
        <v>2024</v>
      </c>
      <c r="F119" s="37" t="s">
        <v>113</v>
      </c>
      <c r="G119" s="38" t="s">
        <v>257</v>
      </c>
      <c r="H119" s="47">
        <v>0.17299999999999999</v>
      </c>
      <c r="I119" s="45">
        <v>0.214</v>
      </c>
      <c r="J119" s="45">
        <v>0.20799999999999999</v>
      </c>
      <c r="K119" s="45">
        <v>0.16400000000000001</v>
      </c>
      <c r="L119" s="45">
        <v>0.186</v>
      </c>
      <c r="M119" s="45">
        <v>0.20699999999999999</v>
      </c>
      <c r="N119" s="45">
        <v>0.17799999999999999</v>
      </c>
      <c r="O119" s="45">
        <v>0.13300000000000001</v>
      </c>
      <c r="P119" s="45">
        <v>0.17899999999999999</v>
      </c>
      <c r="Q119" s="45">
        <v>0.24299999999999999</v>
      </c>
      <c r="R119" s="45">
        <v>0.23899999999999999</v>
      </c>
      <c r="S119" s="45">
        <v>0.193</v>
      </c>
      <c r="T119" s="45">
        <v>0.28599999999999998</v>
      </c>
      <c r="U119" s="45">
        <v>0.223</v>
      </c>
      <c r="V119" s="45">
        <v>0.16500000000000001</v>
      </c>
      <c r="W119" s="45">
        <v>0.14299999999999999</v>
      </c>
      <c r="X119" s="46">
        <v>9.9000000000000005E-2</v>
      </c>
    </row>
    <row r="120" spans="1:24" ht="20.45">
      <c r="A120" s="33" t="s">
        <v>53</v>
      </c>
      <c r="B120" s="34" t="s">
        <v>256</v>
      </c>
      <c r="C120" s="34" t="s">
        <v>861</v>
      </c>
      <c r="D120" s="35" t="s">
        <v>258</v>
      </c>
      <c r="E120" s="36">
        <v>2024</v>
      </c>
      <c r="F120" s="37" t="s">
        <v>113</v>
      </c>
      <c r="G120" s="38" t="s">
        <v>257</v>
      </c>
      <c r="H120" s="47">
        <v>0.17699999999999999</v>
      </c>
      <c r="I120" s="45">
        <v>0.187</v>
      </c>
      <c r="J120" s="45">
        <v>0.222</v>
      </c>
      <c r="K120" s="45">
        <v>0.17299999999999999</v>
      </c>
      <c r="L120" s="45">
        <v>0.20200000000000001</v>
      </c>
      <c r="M120" s="45">
        <v>0.17</v>
      </c>
      <c r="N120" s="45">
        <v>0.159</v>
      </c>
      <c r="O120" s="45">
        <v>0.19700000000000001</v>
      </c>
      <c r="P120" s="45">
        <v>0.17899999999999999</v>
      </c>
      <c r="Q120" s="45">
        <v>0.13700000000000001</v>
      </c>
      <c r="R120" s="45">
        <v>0.17</v>
      </c>
      <c r="S120" s="45">
        <v>0.155</v>
      </c>
      <c r="T120" s="45">
        <v>0.159</v>
      </c>
      <c r="U120" s="45">
        <v>0.14399999999999999</v>
      </c>
      <c r="V120" s="45">
        <v>0.16300000000000001</v>
      </c>
      <c r="W120" s="45">
        <v>0.121</v>
      </c>
      <c r="X120" s="46">
        <v>6.0999999999999999E-2</v>
      </c>
    </row>
    <row r="121" spans="1:24" ht="20.45">
      <c r="A121" s="33" t="s">
        <v>53</v>
      </c>
      <c r="B121" s="34" t="s">
        <v>256</v>
      </c>
      <c r="C121" s="34" t="s">
        <v>862</v>
      </c>
      <c r="D121" s="35" t="s">
        <v>259</v>
      </c>
      <c r="E121" s="36">
        <v>2024</v>
      </c>
      <c r="F121" s="37" t="s">
        <v>113</v>
      </c>
      <c r="G121" s="38" t="s">
        <v>257</v>
      </c>
      <c r="H121" s="47">
        <v>6.0999999999999999E-2</v>
      </c>
      <c r="I121" s="45">
        <v>7.4999999999999997E-2</v>
      </c>
      <c r="J121" s="45">
        <v>0.09</v>
      </c>
      <c r="K121" s="45">
        <v>6.4000000000000001E-2</v>
      </c>
      <c r="L121" s="45">
        <v>6.9000000000000006E-2</v>
      </c>
      <c r="M121" s="45">
        <v>7.0000000000000007E-2</v>
      </c>
      <c r="N121" s="45">
        <v>5.7000000000000002E-2</v>
      </c>
      <c r="O121" s="45">
        <v>5.5E-2</v>
      </c>
      <c r="P121" s="45">
        <v>6.2E-2</v>
      </c>
      <c r="Q121" s="45">
        <v>6.0999999999999999E-2</v>
      </c>
      <c r="R121" s="45">
        <v>6.9000000000000006E-2</v>
      </c>
      <c r="S121" s="45">
        <v>6.2E-2</v>
      </c>
      <c r="T121" s="45">
        <v>8.5999999999999993E-2</v>
      </c>
      <c r="U121" s="45">
        <v>6.5000000000000002E-2</v>
      </c>
      <c r="V121" s="45">
        <v>5.7000000000000002E-2</v>
      </c>
      <c r="W121" s="45">
        <v>4.4999999999999998E-2</v>
      </c>
      <c r="X121" s="46">
        <v>1.4999999999999999E-2</v>
      </c>
    </row>
    <row r="122" spans="1:24" ht="20.45">
      <c r="A122" s="33" t="s">
        <v>53</v>
      </c>
      <c r="B122" s="34" t="s">
        <v>256</v>
      </c>
      <c r="C122" s="34" t="s">
        <v>863</v>
      </c>
      <c r="D122" s="35" t="s">
        <v>260</v>
      </c>
      <c r="E122" s="36">
        <v>2022</v>
      </c>
      <c r="F122" s="37" t="s">
        <v>113</v>
      </c>
      <c r="G122" s="38" t="s">
        <v>257</v>
      </c>
      <c r="H122" s="47">
        <v>7.8E-2</v>
      </c>
      <c r="I122" s="45">
        <v>0.106</v>
      </c>
      <c r="J122" s="45">
        <v>0.14199999999999999</v>
      </c>
      <c r="K122" s="45">
        <v>8.8999999999999996E-2</v>
      </c>
      <c r="L122" s="45">
        <v>7.6999999999999999E-2</v>
      </c>
      <c r="M122" s="45">
        <v>8.5999999999999993E-2</v>
      </c>
      <c r="N122" s="45">
        <v>7.1999999999999995E-2</v>
      </c>
      <c r="O122" s="45">
        <v>7.6999999999999999E-2</v>
      </c>
      <c r="P122" s="45">
        <v>8.2000000000000003E-2</v>
      </c>
      <c r="Q122" s="45">
        <v>7.9000000000000001E-2</v>
      </c>
      <c r="R122" s="45">
        <v>7.2999999999999995E-2</v>
      </c>
      <c r="S122" s="45">
        <v>6.3E-2</v>
      </c>
      <c r="T122" s="45">
        <v>0.105</v>
      </c>
      <c r="U122" s="45">
        <v>7.0999999999999994E-2</v>
      </c>
      <c r="V122" s="45">
        <v>7.3999999999999996E-2</v>
      </c>
      <c r="W122" s="45">
        <v>4.5999999999999999E-2</v>
      </c>
      <c r="X122" s="46">
        <v>1.9E-2</v>
      </c>
    </row>
    <row r="123" spans="1:24" ht="20.45">
      <c r="A123" s="33" t="s">
        <v>53</v>
      </c>
      <c r="B123" s="34" t="s">
        <v>261</v>
      </c>
      <c r="C123" s="34" t="s">
        <v>864</v>
      </c>
      <c r="D123" s="35" t="s">
        <v>262</v>
      </c>
      <c r="E123" s="36">
        <v>2025</v>
      </c>
      <c r="F123" s="37" t="s">
        <v>263</v>
      </c>
      <c r="G123" s="38" t="s">
        <v>264</v>
      </c>
      <c r="H123" s="73">
        <v>962.9</v>
      </c>
      <c r="I123" s="74">
        <v>764.8</v>
      </c>
      <c r="J123" s="74">
        <v>884.9</v>
      </c>
      <c r="K123" s="74">
        <v>1196.8</v>
      </c>
      <c r="L123" s="74">
        <v>882.6</v>
      </c>
      <c r="M123" s="74">
        <v>832</v>
      </c>
      <c r="N123" s="74">
        <v>869.6</v>
      </c>
      <c r="O123" s="74">
        <v>1102</v>
      </c>
      <c r="P123" s="74">
        <v>789</v>
      </c>
      <c r="Q123" s="74">
        <v>731.8</v>
      </c>
      <c r="R123" s="74">
        <v>763.7</v>
      </c>
      <c r="S123" s="74">
        <v>859.2</v>
      </c>
      <c r="T123" s="74">
        <v>729.1</v>
      </c>
      <c r="U123" s="74">
        <v>860.9</v>
      </c>
      <c r="V123" s="74">
        <v>803.8</v>
      </c>
      <c r="W123" s="74">
        <v>1046.0999999999999</v>
      </c>
      <c r="X123" s="75">
        <v>1074.5999999999999</v>
      </c>
    </row>
    <row r="124" spans="1:24" ht="20.45">
      <c r="A124" s="33" t="s">
        <v>53</v>
      </c>
      <c r="B124" s="34" t="s">
        <v>261</v>
      </c>
      <c r="C124" s="34" t="s">
        <v>37</v>
      </c>
      <c r="D124" s="35" t="s">
        <v>265</v>
      </c>
      <c r="E124" s="36">
        <v>2025</v>
      </c>
      <c r="F124" s="37" t="s">
        <v>263</v>
      </c>
      <c r="G124" s="38" t="s">
        <v>264</v>
      </c>
      <c r="H124" s="73">
        <v>680</v>
      </c>
      <c r="I124" s="74">
        <v>599.6</v>
      </c>
      <c r="J124" s="74">
        <v>622.79999999999995</v>
      </c>
      <c r="K124" s="74">
        <v>830.4</v>
      </c>
      <c r="L124" s="74">
        <v>689</v>
      </c>
      <c r="M124" s="74">
        <v>600.29999999999995</v>
      </c>
      <c r="N124" s="74">
        <v>630.29999999999995</v>
      </c>
      <c r="O124" s="74">
        <v>740.3</v>
      </c>
      <c r="P124" s="74">
        <v>600</v>
      </c>
      <c r="Q124" s="74">
        <v>587.29999999999995</v>
      </c>
      <c r="R124" s="74">
        <v>599.20000000000005</v>
      </c>
      <c r="S124" s="74">
        <v>634.9</v>
      </c>
      <c r="T124" s="74">
        <v>550.20000000000005</v>
      </c>
      <c r="U124" s="74">
        <v>600.29999999999995</v>
      </c>
      <c r="V124" s="74">
        <v>602.20000000000005</v>
      </c>
      <c r="W124" s="74">
        <v>713.1</v>
      </c>
      <c r="X124" s="75">
        <v>800</v>
      </c>
    </row>
    <row r="125" spans="1:24" ht="20.45">
      <c r="A125" s="33" t="s">
        <v>53</v>
      </c>
      <c r="B125" s="34" t="s">
        <v>266</v>
      </c>
      <c r="C125" s="34" t="s">
        <v>865</v>
      </c>
      <c r="D125" s="35" t="s">
        <v>267</v>
      </c>
      <c r="E125" s="36">
        <v>2023</v>
      </c>
      <c r="F125" s="37" t="s">
        <v>268</v>
      </c>
      <c r="G125" s="38" t="s">
        <v>269</v>
      </c>
      <c r="H125" s="67">
        <v>2.0613738014603999</v>
      </c>
      <c r="I125" s="68">
        <v>0.66202976245494005</v>
      </c>
      <c r="J125" s="68">
        <v>0.66530353021360999</v>
      </c>
      <c r="K125" s="68">
        <v>2.13805492243669</v>
      </c>
      <c r="L125" s="68">
        <v>0.34129692832764502</v>
      </c>
      <c r="M125" s="68">
        <v>0.91968998783326805</v>
      </c>
      <c r="N125" s="68">
        <v>1.06260696674782</v>
      </c>
      <c r="O125" s="68">
        <v>3.8277204829095699</v>
      </c>
      <c r="P125" s="68">
        <v>0.48407346876927898</v>
      </c>
      <c r="Q125" s="68">
        <v>0.41962420736351702</v>
      </c>
      <c r="R125" s="68">
        <v>0.27846391056151698</v>
      </c>
      <c r="S125" s="68">
        <v>0.90526782886457902</v>
      </c>
      <c r="T125" s="68">
        <v>0.47552850858698897</v>
      </c>
      <c r="U125" s="68">
        <v>0.84623767304820496</v>
      </c>
      <c r="V125" s="68">
        <v>0.70048375444660904</v>
      </c>
      <c r="W125" s="68">
        <v>1.3457658810215001</v>
      </c>
      <c r="X125" s="69">
        <v>1.8027449911798901</v>
      </c>
    </row>
    <row r="126" spans="1:24" ht="20.45">
      <c r="A126" s="33" t="s">
        <v>53</v>
      </c>
      <c r="B126" s="34" t="s">
        <v>266</v>
      </c>
      <c r="C126" s="34" t="s">
        <v>866</v>
      </c>
      <c r="D126" s="35" t="s">
        <v>270</v>
      </c>
      <c r="E126" s="36">
        <v>2023</v>
      </c>
      <c r="F126" s="37" t="s">
        <v>268</v>
      </c>
      <c r="G126" s="38" t="s">
        <v>269</v>
      </c>
      <c r="H126" s="67">
        <v>9.1489261370943495</v>
      </c>
      <c r="I126" s="68">
        <v>6.3591829189388998</v>
      </c>
      <c r="J126" s="68">
        <v>6.9907213780070299</v>
      </c>
      <c r="K126" s="68">
        <v>9.4823247306460008</v>
      </c>
      <c r="L126" s="68">
        <v>7.8039640020057499</v>
      </c>
      <c r="M126" s="68">
        <v>5.2077445561058804</v>
      </c>
      <c r="N126" s="68">
        <v>7.1695257030857302</v>
      </c>
      <c r="O126" s="68">
        <v>13.4182674227217</v>
      </c>
      <c r="P126" s="68">
        <v>4.8918749255896001</v>
      </c>
      <c r="Q126" s="68">
        <v>3.6656370764622599</v>
      </c>
      <c r="R126" s="68">
        <v>3.49059668627946</v>
      </c>
      <c r="S126" s="68">
        <v>6.4886278375361801</v>
      </c>
      <c r="T126" s="68">
        <v>5.5850116025691596</v>
      </c>
      <c r="U126" s="68">
        <v>6.6461273527156299</v>
      </c>
      <c r="V126" s="68">
        <v>6.6933082159001902</v>
      </c>
      <c r="W126" s="68">
        <v>9.7524971706932995</v>
      </c>
      <c r="X126" s="69">
        <v>9.7351097853055499</v>
      </c>
    </row>
    <row r="127" spans="1:24" ht="20.45">
      <c r="A127" s="33" t="s">
        <v>53</v>
      </c>
      <c r="B127" s="34" t="s">
        <v>266</v>
      </c>
      <c r="C127" s="34" t="s">
        <v>867</v>
      </c>
      <c r="D127" s="35" t="s">
        <v>271</v>
      </c>
      <c r="E127" s="36">
        <v>2023</v>
      </c>
      <c r="F127" s="37" t="s">
        <v>268</v>
      </c>
      <c r="G127" s="38" t="s">
        <v>269</v>
      </c>
      <c r="H127" s="67">
        <v>8.4110258498735408</v>
      </c>
      <c r="I127" s="68">
        <v>8.76351788520196</v>
      </c>
      <c r="J127" s="68">
        <v>8.1811422463869103</v>
      </c>
      <c r="K127" s="68">
        <v>9.13164280365495</v>
      </c>
      <c r="L127" s="68">
        <v>6.79756846392723</v>
      </c>
      <c r="M127" s="68">
        <v>6.8906494991202303</v>
      </c>
      <c r="N127" s="68">
        <v>7.95874966815596</v>
      </c>
      <c r="O127" s="68">
        <v>10.402454876366599</v>
      </c>
      <c r="P127" s="68">
        <v>6.3275897524704297</v>
      </c>
      <c r="Q127" s="68">
        <v>5.8857201601861702</v>
      </c>
      <c r="R127" s="68">
        <v>4.9875980425018396</v>
      </c>
      <c r="S127" s="68">
        <v>7.5029681606549801</v>
      </c>
      <c r="T127" s="68">
        <v>5.6818583697642202</v>
      </c>
      <c r="U127" s="68">
        <v>6.7167592729620997</v>
      </c>
      <c r="V127" s="68">
        <v>6.2284528087935396</v>
      </c>
      <c r="W127" s="68">
        <v>10.015745706834601</v>
      </c>
      <c r="X127" s="69">
        <v>9.1456681056118896</v>
      </c>
    </row>
    <row r="128" spans="1:24" ht="20.45">
      <c r="A128" s="33" t="s">
        <v>53</v>
      </c>
      <c r="B128" s="34" t="s">
        <v>266</v>
      </c>
      <c r="C128" s="34" t="s">
        <v>868</v>
      </c>
      <c r="D128" s="35" t="s">
        <v>272</v>
      </c>
      <c r="E128" s="36">
        <v>2023</v>
      </c>
      <c r="F128" s="37" t="s">
        <v>268</v>
      </c>
      <c r="G128" s="38" t="s">
        <v>269</v>
      </c>
      <c r="H128" s="67">
        <v>14.690215915748601</v>
      </c>
      <c r="I128" s="68">
        <v>14.954016082817301</v>
      </c>
      <c r="J128" s="68">
        <v>15.6962064532119</v>
      </c>
      <c r="K128" s="68">
        <v>19.503971257994699</v>
      </c>
      <c r="L128" s="68">
        <v>14.749324817678801</v>
      </c>
      <c r="M128" s="68">
        <v>12.421882234974399</v>
      </c>
      <c r="N128" s="68">
        <v>15.131381996260799</v>
      </c>
      <c r="O128" s="68">
        <v>16.695343172654201</v>
      </c>
      <c r="P128" s="68">
        <v>13.3478726743368</v>
      </c>
      <c r="Q128" s="68">
        <v>10.2702791108453</v>
      </c>
      <c r="R128" s="68">
        <v>10.4305361461626</v>
      </c>
      <c r="S128" s="68">
        <v>12.6945817730378</v>
      </c>
      <c r="T128" s="68">
        <v>10.245898294571999</v>
      </c>
      <c r="U128" s="68">
        <v>11.9798463587563</v>
      </c>
      <c r="V128" s="68">
        <v>11.9295614508366</v>
      </c>
      <c r="W128" s="68">
        <v>17.699158588791001</v>
      </c>
      <c r="X128" s="69">
        <v>22.242459879243299</v>
      </c>
    </row>
    <row r="129" spans="1:24" ht="20.45">
      <c r="A129" s="33" t="s">
        <v>53</v>
      </c>
      <c r="B129" s="34" t="s">
        <v>266</v>
      </c>
      <c r="C129" s="34" t="s">
        <v>869</v>
      </c>
      <c r="D129" s="35" t="s">
        <v>273</v>
      </c>
      <c r="E129" s="36">
        <v>2023</v>
      </c>
      <c r="F129" s="37" t="s">
        <v>268</v>
      </c>
      <c r="G129" s="38" t="s">
        <v>269</v>
      </c>
      <c r="H129" s="67">
        <v>29.025749846386901</v>
      </c>
      <c r="I129" s="68">
        <v>34.1078195766707</v>
      </c>
      <c r="J129" s="68">
        <v>32.389206437721697</v>
      </c>
      <c r="K129" s="68">
        <v>33.007885228393398</v>
      </c>
      <c r="L129" s="68">
        <v>33.432741284210003</v>
      </c>
      <c r="M129" s="68">
        <v>28.635250312151701</v>
      </c>
      <c r="N129" s="68">
        <v>31.297976175010302</v>
      </c>
      <c r="O129" s="68">
        <v>29.0263454060726</v>
      </c>
      <c r="P129" s="68">
        <v>29.5912569134025</v>
      </c>
      <c r="Q129" s="68">
        <v>26.801510273316499</v>
      </c>
      <c r="R129" s="68">
        <v>25.4902769684562</v>
      </c>
      <c r="S129" s="68">
        <v>27.719656591010299</v>
      </c>
      <c r="T129" s="68">
        <v>25.023191536245399</v>
      </c>
      <c r="U129" s="68">
        <v>26.974666684604902</v>
      </c>
      <c r="V129" s="68">
        <v>27.686788047272</v>
      </c>
      <c r="W129" s="68">
        <v>31.311814200659299</v>
      </c>
      <c r="X129" s="69">
        <v>35.988928248741502</v>
      </c>
    </row>
    <row r="130" spans="1:24" ht="20.45">
      <c r="A130" s="33" t="s">
        <v>53</v>
      </c>
      <c r="B130" s="34" t="s">
        <v>266</v>
      </c>
      <c r="C130" s="34" t="s">
        <v>870</v>
      </c>
      <c r="D130" s="35" t="s">
        <v>274</v>
      </c>
      <c r="E130" s="36">
        <v>2023</v>
      </c>
      <c r="F130" s="37" t="s">
        <v>268</v>
      </c>
      <c r="G130" s="38" t="s">
        <v>269</v>
      </c>
      <c r="H130" s="67">
        <v>30.5375173261314</v>
      </c>
      <c r="I130" s="68">
        <v>29.362695258341802</v>
      </c>
      <c r="J130" s="68">
        <v>29.150982852363001</v>
      </c>
      <c r="K130" s="68">
        <v>22.043857746715201</v>
      </c>
      <c r="L130" s="68">
        <v>30.4522621906697</v>
      </c>
      <c r="M130" s="68">
        <v>38.1307300997289</v>
      </c>
      <c r="N130" s="68">
        <v>32.127586265328397</v>
      </c>
      <c r="O130" s="68">
        <v>22.9093187480856</v>
      </c>
      <c r="P130" s="68">
        <v>37.533417033757999</v>
      </c>
      <c r="Q130" s="68">
        <v>42.032280222989598</v>
      </c>
      <c r="R130" s="68">
        <v>42.927790182600098</v>
      </c>
      <c r="S130" s="68">
        <v>36.930185135315902</v>
      </c>
      <c r="T130" s="68">
        <v>41.441711032098198</v>
      </c>
      <c r="U130" s="68">
        <v>39.315072179095601</v>
      </c>
      <c r="V130" s="68">
        <v>38.711329364534997</v>
      </c>
      <c r="W130" s="68">
        <v>26.066525611376299</v>
      </c>
      <c r="X130" s="69">
        <v>19.534756980796502</v>
      </c>
    </row>
    <row r="131" spans="1:24" ht="20.45">
      <c r="A131" s="33" t="s">
        <v>53</v>
      </c>
      <c r="B131" s="34" t="s">
        <v>266</v>
      </c>
      <c r="C131" s="34" t="s">
        <v>871</v>
      </c>
      <c r="D131" s="35" t="s">
        <v>275</v>
      </c>
      <c r="E131" s="36">
        <v>2023</v>
      </c>
      <c r="F131" s="37" t="s">
        <v>268</v>
      </c>
      <c r="G131" s="38" t="s">
        <v>269</v>
      </c>
      <c r="H131" s="67">
        <v>6.1251911233048997</v>
      </c>
      <c r="I131" s="68">
        <v>5.79073851557445</v>
      </c>
      <c r="J131" s="68">
        <v>6.9264371020958198</v>
      </c>
      <c r="K131" s="68">
        <v>4.6922633101591398</v>
      </c>
      <c r="L131" s="68">
        <v>5.9750336491515101</v>
      </c>
      <c r="M131" s="68">
        <v>7.7940533100856104</v>
      </c>
      <c r="N131" s="68">
        <v>5.2521732254110596</v>
      </c>
      <c r="O131" s="68">
        <v>3.7205498911897501</v>
      </c>
      <c r="P131" s="68">
        <v>7.8239152316733902</v>
      </c>
      <c r="Q131" s="68">
        <v>10.9249489488367</v>
      </c>
      <c r="R131" s="68">
        <v>12.394738063438201</v>
      </c>
      <c r="S131" s="68">
        <v>7.7587126735802396</v>
      </c>
      <c r="T131" s="68">
        <v>11.5468006561641</v>
      </c>
      <c r="U131" s="68">
        <v>7.52129047881715</v>
      </c>
      <c r="V131" s="68">
        <v>8.0500763582160495</v>
      </c>
      <c r="W131" s="68">
        <v>3.80849284062392</v>
      </c>
      <c r="X131" s="69">
        <v>1.55033200912129</v>
      </c>
    </row>
    <row r="132" spans="1:24" ht="20.45">
      <c r="A132" s="33" t="s">
        <v>53</v>
      </c>
      <c r="B132" s="34" t="s">
        <v>276</v>
      </c>
      <c r="C132" s="34" t="s">
        <v>74</v>
      </c>
      <c r="D132" s="35" t="s">
        <v>277</v>
      </c>
      <c r="E132" s="36">
        <v>2025</v>
      </c>
      <c r="F132" s="37" t="s">
        <v>104</v>
      </c>
      <c r="G132" s="38" t="s">
        <v>279</v>
      </c>
      <c r="H132" s="39" t="s">
        <v>77</v>
      </c>
      <c r="I132" s="40" t="s">
        <v>872</v>
      </c>
      <c r="J132" s="40" t="s">
        <v>77</v>
      </c>
      <c r="K132" s="40" t="s">
        <v>77</v>
      </c>
      <c r="L132" s="40" t="s">
        <v>77</v>
      </c>
      <c r="M132" s="40" t="s">
        <v>77</v>
      </c>
      <c r="N132" s="40" t="s">
        <v>77</v>
      </c>
      <c r="O132" s="40" t="s">
        <v>872</v>
      </c>
      <c r="P132" s="40" t="s">
        <v>278</v>
      </c>
      <c r="Q132" s="40" t="s">
        <v>278</v>
      </c>
      <c r="R132" s="40" t="s">
        <v>873</v>
      </c>
      <c r="S132" s="40" t="s">
        <v>873</v>
      </c>
      <c r="T132" s="40" t="s">
        <v>873</v>
      </c>
      <c r="U132" s="40" t="s">
        <v>873</v>
      </c>
      <c r="V132" s="40" t="s">
        <v>874</v>
      </c>
      <c r="W132" s="40" t="s">
        <v>874</v>
      </c>
      <c r="X132" s="41" t="s">
        <v>874</v>
      </c>
    </row>
    <row r="133" spans="1:24" ht="59.45">
      <c r="A133" s="33" t="s">
        <v>53</v>
      </c>
      <c r="B133" s="34" t="s">
        <v>276</v>
      </c>
      <c r="C133" s="34" t="s">
        <v>875</v>
      </c>
      <c r="D133" s="35" t="s">
        <v>280</v>
      </c>
      <c r="E133" s="36">
        <v>2025</v>
      </c>
      <c r="F133" s="37" t="s">
        <v>113</v>
      </c>
      <c r="G133" s="38" t="s">
        <v>279</v>
      </c>
      <c r="H133" s="39"/>
      <c r="I133" s="53">
        <v>0.41</v>
      </c>
      <c r="J133" s="53">
        <v>0.89</v>
      </c>
      <c r="K133" s="53">
        <v>0.94</v>
      </c>
      <c r="L133" s="53">
        <v>0.97</v>
      </c>
      <c r="M133" s="53">
        <v>0.83</v>
      </c>
      <c r="N133" s="53">
        <v>0.65</v>
      </c>
      <c r="O133" s="53">
        <v>0.28000000000000003</v>
      </c>
      <c r="P133" s="53">
        <v>0.87</v>
      </c>
      <c r="Q133" s="53">
        <v>0.67</v>
      </c>
      <c r="R133" s="53">
        <v>0.53</v>
      </c>
      <c r="S133" s="53">
        <v>0.6</v>
      </c>
      <c r="T133" s="53">
        <v>0.54</v>
      </c>
      <c r="U133" s="53">
        <v>0.48</v>
      </c>
      <c r="V133" s="53">
        <v>0.94</v>
      </c>
      <c r="W133" s="53">
        <v>0.5</v>
      </c>
      <c r="X133" s="54">
        <v>0.55000000000000004</v>
      </c>
    </row>
    <row r="134" spans="1:24" ht="39.6">
      <c r="A134" s="33" t="s">
        <v>53</v>
      </c>
      <c r="B134" s="34" t="s">
        <v>281</v>
      </c>
      <c r="C134" s="34" t="s">
        <v>282</v>
      </c>
      <c r="D134" s="35" t="s">
        <v>282</v>
      </c>
      <c r="E134" s="36"/>
      <c r="F134" s="37" t="s">
        <v>104</v>
      </c>
      <c r="G134" s="38" t="s">
        <v>279</v>
      </c>
      <c r="H134" s="39" t="s">
        <v>284</v>
      </c>
      <c r="I134" s="40" t="s">
        <v>876</v>
      </c>
      <c r="J134" s="40"/>
      <c r="K134" s="40" t="s">
        <v>877</v>
      </c>
      <c r="L134" s="40" t="s">
        <v>878</v>
      </c>
      <c r="M134" s="40" t="s">
        <v>879</v>
      </c>
      <c r="N134" s="40" t="s">
        <v>880</v>
      </c>
      <c r="O134" s="40" t="s">
        <v>881</v>
      </c>
      <c r="P134" s="40" t="s">
        <v>283</v>
      </c>
      <c r="Q134" s="40" t="s">
        <v>882</v>
      </c>
      <c r="R134" s="40" t="s">
        <v>883</v>
      </c>
      <c r="S134" s="40"/>
      <c r="T134" s="40" t="s">
        <v>884</v>
      </c>
      <c r="U134" s="40" t="s">
        <v>885</v>
      </c>
      <c r="V134" s="40"/>
      <c r="W134" s="40" t="s">
        <v>886</v>
      </c>
      <c r="X134" s="41"/>
    </row>
    <row r="135" spans="1:24" ht="39.6">
      <c r="A135" s="33" t="s">
        <v>53</v>
      </c>
      <c r="B135" s="34" t="s">
        <v>281</v>
      </c>
      <c r="C135" s="34" t="s">
        <v>887</v>
      </c>
      <c r="D135" s="35" t="s">
        <v>281</v>
      </c>
      <c r="E135" s="36"/>
      <c r="F135" s="37" t="s">
        <v>285</v>
      </c>
      <c r="G135" s="38" t="s">
        <v>222</v>
      </c>
      <c r="H135" s="70">
        <v>285789.85070000001</v>
      </c>
      <c r="I135" s="71">
        <v>20154.087129</v>
      </c>
      <c r="J135" s="71"/>
      <c r="K135" s="71">
        <v>46082.830931999997</v>
      </c>
      <c r="L135" s="71">
        <v>11424.829078999999</v>
      </c>
      <c r="M135" s="71">
        <v>5470.5221142</v>
      </c>
      <c r="N135" s="71">
        <v>7483.8275811000003</v>
      </c>
      <c r="O135" s="71">
        <v>82390.352887999994</v>
      </c>
      <c r="P135" s="71">
        <v>5916.689453</v>
      </c>
      <c r="Q135" s="71">
        <v>4666.0252344999999</v>
      </c>
      <c r="R135" s="71">
        <v>7604.8690334000003</v>
      </c>
      <c r="S135" s="71"/>
      <c r="T135" s="71">
        <v>998.64486967000005</v>
      </c>
      <c r="U135" s="71">
        <v>5047.2020884000003</v>
      </c>
      <c r="V135" s="71"/>
      <c r="W135" s="71">
        <v>691.13342761000001</v>
      </c>
      <c r="X135" s="72"/>
    </row>
    <row r="136" spans="1:24" ht="20.45">
      <c r="A136" s="33" t="s">
        <v>53</v>
      </c>
      <c r="B136" s="34" t="s">
        <v>281</v>
      </c>
      <c r="C136" s="34" t="s">
        <v>832</v>
      </c>
      <c r="D136" s="35" t="s">
        <v>286</v>
      </c>
      <c r="E136" s="36"/>
      <c r="F136" s="37" t="s">
        <v>113</v>
      </c>
      <c r="G136" s="38" t="s">
        <v>222</v>
      </c>
      <c r="H136" s="47"/>
      <c r="I136" s="45">
        <v>7.0520653828803001E-2</v>
      </c>
      <c r="J136" s="45"/>
      <c r="K136" s="45">
        <v>0.161247261997327</v>
      </c>
      <c r="L136" s="45">
        <v>3.99763289389619E-2</v>
      </c>
      <c r="M136" s="45">
        <v>1.9141764834548099E-2</v>
      </c>
      <c r="N136" s="45">
        <v>2.6186470802827599E-2</v>
      </c>
      <c r="O136" s="45">
        <v>0.28828998890687302</v>
      </c>
      <c r="P136" s="45">
        <v>2.0702937625349301E-2</v>
      </c>
      <c r="Q136" s="45">
        <v>1.6326770258185401E-2</v>
      </c>
      <c r="R136" s="45">
        <v>2.6610003870931698E-2</v>
      </c>
      <c r="S136" s="45"/>
      <c r="T136" s="45">
        <v>3.4943328715976701E-3</v>
      </c>
      <c r="U136" s="45">
        <v>1.7660536495742001E-2</v>
      </c>
      <c r="V136" s="45"/>
      <c r="W136" s="45">
        <v>2.4183274035700399E-3</v>
      </c>
      <c r="X136" s="46"/>
    </row>
    <row r="137" spans="1:24" ht="39.6">
      <c r="A137" s="33" t="s">
        <v>55</v>
      </c>
      <c r="B137" s="34" t="s">
        <v>287</v>
      </c>
      <c r="C137" s="34" t="s">
        <v>888</v>
      </c>
      <c r="D137" s="35" t="s">
        <v>288</v>
      </c>
      <c r="E137" s="36">
        <v>2025</v>
      </c>
      <c r="F137" s="37" t="s">
        <v>113</v>
      </c>
      <c r="G137" s="38" t="s">
        <v>289</v>
      </c>
      <c r="H137" s="47">
        <v>0.58169999999999999</v>
      </c>
      <c r="I137" s="45">
        <v>0.62870000000000004</v>
      </c>
      <c r="J137" s="45">
        <v>0.62109999999999999</v>
      </c>
      <c r="K137" s="45">
        <v>0.56799999999999995</v>
      </c>
      <c r="L137" s="45">
        <v>0.54510000000000003</v>
      </c>
      <c r="M137" s="45">
        <v>0.54159999999999997</v>
      </c>
      <c r="N137" s="45">
        <v>0.54169999999999996</v>
      </c>
      <c r="O137" s="45">
        <v>0.53220000000000001</v>
      </c>
      <c r="P137" s="45">
        <v>0.60519999999999996</v>
      </c>
      <c r="Q137" s="45">
        <v>0.66080000000000005</v>
      </c>
      <c r="R137" s="45">
        <v>0.6986</v>
      </c>
      <c r="S137" s="45">
        <v>0.63839999999999997</v>
      </c>
      <c r="T137" s="45">
        <v>0.68920000000000003</v>
      </c>
      <c r="U137" s="45">
        <v>0.62760000000000005</v>
      </c>
      <c r="V137" s="45">
        <v>0.65259999999999996</v>
      </c>
      <c r="W137" s="45">
        <v>0.59930000000000005</v>
      </c>
      <c r="X137" s="46">
        <v>0.55289999999999995</v>
      </c>
    </row>
    <row r="138" spans="1:24" ht="39.6">
      <c r="A138" s="33" t="s">
        <v>55</v>
      </c>
      <c r="B138" s="34" t="s">
        <v>287</v>
      </c>
      <c r="C138" s="34" t="s">
        <v>889</v>
      </c>
      <c r="D138" s="35" t="s">
        <v>290</v>
      </c>
      <c r="E138" s="36">
        <v>2025</v>
      </c>
      <c r="F138" s="37" t="s">
        <v>113</v>
      </c>
      <c r="G138" s="38" t="s">
        <v>289</v>
      </c>
      <c r="H138" s="47">
        <v>0.41830000000000001</v>
      </c>
      <c r="I138" s="45">
        <v>0.37130000000000002</v>
      </c>
      <c r="J138" s="45">
        <v>0.37890000000000001</v>
      </c>
      <c r="K138" s="45">
        <v>0.432</v>
      </c>
      <c r="L138" s="45">
        <v>0.45490000000000003</v>
      </c>
      <c r="M138" s="45">
        <v>0.45839999999999997</v>
      </c>
      <c r="N138" s="45">
        <v>0.45829999999999999</v>
      </c>
      <c r="O138" s="45">
        <v>0.46779999999999999</v>
      </c>
      <c r="P138" s="45">
        <v>0.39479999999999998</v>
      </c>
      <c r="Q138" s="45">
        <v>0.3392</v>
      </c>
      <c r="R138" s="45">
        <v>0.3014</v>
      </c>
      <c r="S138" s="45">
        <v>0.36159999999999998</v>
      </c>
      <c r="T138" s="45">
        <v>0.31080000000000002</v>
      </c>
      <c r="U138" s="45">
        <v>0.37240000000000001</v>
      </c>
      <c r="V138" s="45">
        <v>0.34739999999999999</v>
      </c>
      <c r="W138" s="45">
        <v>0.4007</v>
      </c>
      <c r="X138" s="46">
        <v>0.4471</v>
      </c>
    </row>
    <row r="139" spans="1:24" ht="39.6">
      <c r="A139" s="33" t="s">
        <v>55</v>
      </c>
      <c r="B139" s="34" t="s">
        <v>291</v>
      </c>
      <c r="C139" s="34" t="s">
        <v>890</v>
      </c>
      <c r="D139" s="35" t="s">
        <v>292</v>
      </c>
      <c r="E139" s="36">
        <v>2025</v>
      </c>
      <c r="F139" s="37" t="s">
        <v>113</v>
      </c>
      <c r="G139" s="38" t="s">
        <v>289</v>
      </c>
      <c r="H139" s="47"/>
      <c r="I139" s="45">
        <v>0.27839999999999998</v>
      </c>
      <c r="J139" s="45">
        <v>0.31130000000000002</v>
      </c>
      <c r="K139" s="45">
        <v>0.35049999999999998</v>
      </c>
      <c r="L139" s="45">
        <v>0.3261</v>
      </c>
      <c r="M139" s="45">
        <v>0.26700000000000002</v>
      </c>
      <c r="N139" s="45">
        <v>0.19500000000000001</v>
      </c>
      <c r="O139" s="45">
        <v>0.1426</v>
      </c>
      <c r="P139" s="45">
        <v>0.219</v>
      </c>
      <c r="Q139" s="45">
        <v>0.2215</v>
      </c>
      <c r="R139" s="45">
        <v>0.22140000000000001</v>
      </c>
      <c r="S139" s="45">
        <v>0.25090000000000001</v>
      </c>
      <c r="T139" s="45">
        <v>0.20569999999999999</v>
      </c>
      <c r="U139" s="45">
        <v>0.2026</v>
      </c>
      <c r="V139" s="45">
        <v>0.21829999999999999</v>
      </c>
      <c r="W139" s="45">
        <v>0.1656</v>
      </c>
      <c r="X139" s="46">
        <v>0.16470000000000001</v>
      </c>
    </row>
    <row r="140" spans="1:24" ht="39.6">
      <c r="A140" s="33" t="s">
        <v>55</v>
      </c>
      <c r="B140" s="34" t="s">
        <v>291</v>
      </c>
      <c r="C140" s="34" t="s">
        <v>889</v>
      </c>
      <c r="D140" s="35" t="s">
        <v>293</v>
      </c>
      <c r="E140" s="36">
        <v>2025</v>
      </c>
      <c r="F140" s="37" t="s">
        <v>113</v>
      </c>
      <c r="G140" s="38" t="s">
        <v>289</v>
      </c>
      <c r="H140" s="47"/>
      <c r="I140" s="45">
        <v>0.22270000000000001</v>
      </c>
      <c r="J140" s="45">
        <v>0.2198</v>
      </c>
      <c r="K140" s="45">
        <v>0.23319999999999999</v>
      </c>
      <c r="L140" s="45">
        <v>0.26429999999999998</v>
      </c>
      <c r="M140" s="45">
        <v>0.27489999999999998</v>
      </c>
      <c r="N140" s="45">
        <v>0.2954</v>
      </c>
      <c r="O140" s="45">
        <v>0.31140000000000001</v>
      </c>
      <c r="P140" s="45">
        <v>0.2447</v>
      </c>
      <c r="Q140" s="45">
        <v>0.21590000000000001</v>
      </c>
      <c r="R140" s="45">
        <v>0.19009999999999999</v>
      </c>
      <c r="S140" s="45">
        <v>0.22070000000000001</v>
      </c>
      <c r="T140" s="45">
        <v>0.1961</v>
      </c>
      <c r="U140" s="45">
        <v>0.24410000000000001</v>
      </c>
      <c r="V140" s="45">
        <v>0.22109999999999999</v>
      </c>
      <c r="W140" s="45">
        <v>0.27279999999999999</v>
      </c>
      <c r="X140" s="46">
        <v>0.28889999999999999</v>
      </c>
    </row>
    <row r="141" spans="1:24" ht="39.6">
      <c r="A141" s="33" t="s">
        <v>55</v>
      </c>
      <c r="B141" s="34" t="s">
        <v>291</v>
      </c>
      <c r="C141" s="34" t="s">
        <v>891</v>
      </c>
      <c r="D141" s="35" t="s">
        <v>294</v>
      </c>
      <c r="E141" s="36">
        <v>2025</v>
      </c>
      <c r="F141" s="37" t="s">
        <v>113</v>
      </c>
      <c r="G141" s="38" t="s">
        <v>289</v>
      </c>
      <c r="H141" s="47"/>
      <c r="I141" s="45">
        <v>1.15E-2</v>
      </c>
      <c r="J141" s="45">
        <v>1.0800000000000001E-2</v>
      </c>
      <c r="K141" s="45">
        <v>1.1299999999999999E-2</v>
      </c>
      <c r="L141" s="45">
        <v>1.1599999999999999E-2</v>
      </c>
      <c r="M141" s="45">
        <v>1.2E-2</v>
      </c>
      <c r="N141" s="45">
        <v>1.3100000000000001E-2</v>
      </c>
      <c r="O141" s="45">
        <v>1.2500000000000001E-2</v>
      </c>
      <c r="P141" s="45">
        <v>1.24E-2</v>
      </c>
      <c r="Q141" s="45">
        <v>1.0999999999999999E-2</v>
      </c>
      <c r="R141" s="45">
        <v>1.01E-2</v>
      </c>
      <c r="S141" s="45">
        <v>1.0800000000000001E-2</v>
      </c>
      <c r="T141" s="45">
        <v>1.09E-2</v>
      </c>
      <c r="U141" s="45">
        <v>1.0500000000000001E-2</v>
      </c>
      <c r="V141" s="45">
        <v>1.06E-2</v>
      </c>
      <c r="W141" s="45">
        <v>1.15E-2</v>
      </c>
      <c r="X141" s="46">
        <v>1.8700000000000001E-2</v>
      </c>
    </row>
    <row r="142" spans="1:24" ht="39.6">
      <c r="A142" s="33" t="s">
        <v>55</v>
      </c>
      <c r="B142" s="34" t="s">
        <v>291</v>
      </c>
      <c r="C142" s="34" t="s">
        <v>892</v>
      </c>
      <c r="D142" s="35" t="s">
        <v>295</v>
      </c>
      <c r="E142" s="36">
        <v>2025</v>
      </c>
      <c r="F142" s="37" t="s">
        <v>113</v>
      </c>
      <c r="G142" s="38" t="s">
        <v>289</v>
      </c>
      <c r="H142" s="47"/>
      <c r="I142" s="45">
        <v>0.18090000000000001</v>
      </c>
      <c r="J142" s="45">
        <v>0.14560000000000001</v>
      </c>
      <c r="K142" s="45">
        <v>0.13070000000000001</v>
      </c>
      <c r="L142" s="45">
        <v>0.13150000000000001</v>
      </c>
      <c r="M142" s="45">
        <v>0.1376</v>
      </c>
      <c r="N142" s="45">
        <v>0.154</v>
      </c>
      <c r="O142" s="45">
        <v>0.12859999999999999</v>
      </c>
      <c r="P142" s="45">
        <v>0.1386</v>
      </c>
      <c r="Q142" s="45">
        <v>0.13650000000000001</v>
      </c>
      <c r="R142" s="45">
        <v>0.15210000000000001</v>
      </c>
      <c r="S142" s="45">
        <v>0.13270000000000001</v>
      </c>
      <c r="T142" s="45">
        <v>0.15379999999999999</v>
      </c>
      <c r="U142" s="45">
        <v>0.15659999999999999</v>
      </c>
      <c r="V142" s="45">
        <v>0.16170000000000001</v>
      </c>
      <c r="W142" s="45">
        <v>0.2026</v>
      </c>
      <c r="X142" s="46">
        <v>0.1696</v>
      </c>
    </row>
    <row r="143" spans="1:24" ht="39.6">
      <c r="A143" s="33" t="s">
        <v>55</v>
      </c>
      <c r="B143" s="34" t="s">
        <v>291</v>
      </c>
      <c r="C143" s="34" t="s">
        <v>888</v>
      </c>
      <c r="D143" s="35" t="s">
        <v>296</v>
      </c>
      <c r="E143" s="36">
        <v>2025</v>
      </c>
      <c r="F143" s="37" t="s">
        <v>113</v>
      </c>
      <c r="G143" s="38" t="s">
        <v>289</v>
      </c>
      <c r="H143" s="47"/>
      <c r="I143" s="45">
        <v>0.21920000000000001</v>
      </c>
      <c r="J143" s="45">
        <v>0.22620000000000001</v>
      </c>
      <c r="K143" s="45">
        <v>0.1802</v>
      </c>
      <c r="L143" s="45">
        <v>0.188</v>
      </c>
      <c r="M143" s="45">
        <v>0.19070000000000001</v>
      </c>
      <c r="N143" s="45">
        <v>0.20280000000000001</v>
      </c>
      <c r="O143" s="45">
        <v>0.21820000000000001</v>
      </c>
      <c r="P143" s="45">
        <v>0.25530000000000003</v>
      </c>
      <c r="Q143" s="45">
        <v>0.30520000000000003</v>
      </c>
      <c r="R143" s="45">
        <v>0.31609999999999999</v>
      </c>
      <c r="S143" s="45">
        <v>0.27089999999999997</v>
      </c>
      <c r="T143" s="45">
        <v>0.3256</v>
      </c>
      <c r="U143" s="45">
        <v>0.26860000000000001</v>
      </c>
      <c r="V143" s="45">
        <v>0.27110000000000001</v>
      </c>
      <c r="W143" s="45">
        <v>0.23019999999999999</v>
      </c>
      <c r="X143" s="46">
        <v>0.23569999999999999</v>
      </c>
    </row>
    <row r="144" spans="1:24" ht="39.6">
      <c r="A144" s="33" t="s">
        <v>55</v>
      </c>
      <c r="B144" s="34" t="s">
        <v>291</v>
      </c>
      <c r="C144" s="34" t="s">
        <v>893</v>
      </c>
      <c r="D144" s="35" t="s">
        <v>297</v>
      </c>
      <c r="E144" s="36">
        <v>2025</v>
      </c>
      <c r="F144" s="37" t="s">
        <v>113</v>
      </c>
      <c r="G144" s="38" t="s">
        <v>289</v>
      </c>
      <c r="H144" s="47"/>
      <c r="I144" s="45">
        <v>5.7999999999999996E-3</v>
      </c>
      <c r="J144" s="45">
        <v>5.4000000000000003E-3</v>
      </c>
      <c r="K144" s="45">
        <v>5.3E-3</v>
      </c>
      <c r="L144" s="45">
        <v>5.4999999999999997E-3</v>
      </c>
      <c r="M144" s="45">
        <v>5.7999999999999996E-3</v>
      </c>
      <c r="N144" s="45">
        <v>7.0000000000000001E-3</v>
      </c>
      <c r="O144" s="45">
        <v>7.6E-3</v>
      </c>
      <c r="P144" s="45">
        <v>5.3E-3</v>
      </c>
      <c r="Q144" s="45">
        <v>4.4999999999999997E-3</v>
      </c>
      <c r="R144" s="45">
        <v>5.1000000000000004E-3</v>
      </c>
      <c r="S144" s="45">
        <v>6.3E-3</v>
      </c>
      <c r="T144" s="45">
        <v>6.1999999999999998E-3</v>
      </c>
      <c r="U144" s="45">
        <v>6.7999999999999996E-3</v>
      </c>
      <c r="V144" s="45">
        <v>6.1000000000000004E-3</v>
      </c>
      <c r="W144" s="45">
        <v>6.6E-3</v>
      </c>
      <c r="X144" s="46">
        <v>6.0000000000000001E-3</v>
      </c>
    </row>
    <row r="145" spans="1:24" ht="39.6">
      <c r="A145" s="33" t="s">
        <v>55</v>
      </c>
      <c r="B145" s="34" t="s">
        <v>291</v>
      </c>
      <c r="C145" s="34" t="s">
        <v>894</v>
      </c>
      <c r="D145" s="35" t="s">
        <v>298</v>
      </c>
      <c r="E145" s="36">
        <v>2025</v>
      </c>
      <c r="F145" s="37" t="s">
        <v>113</v>
      </c>
      <c r="G145" s="38" t="s">
        <v>289</v>
      </c>
      <c r="H145" s="47"/>
      <c r="I145" s="45">
        <v>6.7000000000000004E-2</v>
      </c>
      <c r="J145" s="45">
        <v>6.9400000000000003E-2</v>
      </c>
      <c r="K145" s="45">
        <v>7.46E-2</v>
      </c>
      <c r="L145" s="45">
        <v>6.3100000000000003E-2</v>
      </c>
      <c r="M145" s="45">
        <v>0.1008</v>
      </c>
      <c r="N145" s="45">
        <v>0.11890000000000001</v>
      </c>
      <c r="O145" s="45">
        <v>0.16450000000000001</v>
      </c>
      <c r="P145" s="45">
        <v>0.1135</v>
      </c>
      <c r="Q145" s="45">
        <v>9.6100000000000005E-2</v>
      </c>
      <c r="R145" s="45">
        <v>9.7100000000000006E-2</v>
      </c>
      <c r="S145" s="45">
        <v>9.7000000000000003E-2</v>
      </c>
      <c r="T145" s="45">
        <v>9.1899999999999996E-2</v>
      </c>
      <c r="U145" s="45">
        <v>9.9299999999999999E-2</v>
      </c>
      <c r="V145" s="45">
        <v>9.9900000000000003E-2</v>
      </c>
      <c r="W145" s="45">
        <v>0.10050000000000001</v>
      </c>
      <c r="X145" s="46">
        <v>0.1013</v>
      </c>
    </row>
    <row r="146" spans="1:24" ht="39.6">
      <c r="A146" s="33" t="s">
        <v>55</v>
      </c>
      <c r="B146" s="34" t="s">
        <v>291</v>
      </c>
      <c r="C146" s="34" t="s">
        <v>895</v>
      </c>
      <c r="D146" s="35" t="s">
        <v>299</v>
      </c>
      <c r="E146" s="36">
        <v>2025</v>
      </c>
      <c r="F146" s="37" t="s">
        <v>113</v>
      </c>
      <c r="G146" s="38" t="s">
        <v>289</v>
      </c>
      <c r="H146" s="39"/>
      <c r="I146" s="45">
        <v>9.5999999999999992E-3</v>
      </c>
      <c r="J146" s="45">
        <v>1.14E-2</v>
      </c>
      <c r="K146" s="45">
        <v>1.3899999999999999E-2</v>
      </c>
      <c r="L146" s="45">
        <v>9.9000000000000008E-3</v>
      </c>
      <c r="M146" s="45">
        <v>1.12E-2</v>
      </c>
      <c r="N146" s="45">
        <v>1.3899999999999999E-2</v>
      </c>
      <c r="O146" s="45">
        <v>1.46E-2</v>
      </c>
      <c r="P146" s="45">
        <v>1.12E-2</v>
      </c>
      <c r="Q146" s="45">
        <v>9.2999999999999992E-3</v>
      </c>
      <c r="R146" s="45">
        <v>8.6999999999999994E-3</v>
      </c>
      <c r="S146" s="45">
        <v>1.06E-2</v>
      </c>
      <c r="T146" s="45">
        <v>9.7999999999999997E-3</v>
      </c>
      <c r="U146" s="45">
        <v>1.15E-2</v>
      </c>
      <c r="V146" s="45">
        <v>1.1299999999999999E-2</v>
      </c>
      <c r="W146" s="45">
        <v>1.03E-2</v>
      </c>
      <c r="X146" s="46">
        <v>1.52E-2</v>
      </c>
    </row>
    <row r="147" spans="1:24" ht="20.45">
      <c r="A147" s="33" t="s">
        <v>55</v>
      </c>
      <c r="B147" s="34" t="s">
        <v>300</v>
      </c>
      <c r="C147" s="34" t="s">
        <v>896</v>
      </c>
      <c r="D147" s="35" t="s">
        <v>301</v>
      </c>
      <c r="E147" s="36">
        <v>2023</v>
      </c>
      <c r="F147" s="37" t="s">
        <v>113</v>
      </c>
      <c r="G147" s="38" t="s">
        <v>289</v>
      </c>
      <c r="H147" s="47">
        <v>0.44209999999999999</v>
      </c>
      <c r="I147" s="45">
        <v>0.4572</v>
      </c>
      <c r="J147" s="45">
        <v>0.46650000000000003</v>
      </c>
      <c r="K147" s="45">
        <v>0.40799999999999997</v>
      </c>
      <c r="L147" s="45">
        <v>0.38600000000000001</v>
      </c>
      <c r="M147" s="45">
        <v>0.40050000000000002</v>
      </c>
      <c r="N147" s="45">
        <v>0.40899999999999997</v>
      </c>
      <c r="O147" s="45">
        <v>0.4113</v>
      </c>
      <c r="P147" s="45">
        <v>0.44280000000000003</v>
      </c>
      <c r="Q147" s="45">
        <v>0.49399999999999999</v>
      </c>
      <c r="R147" s="45">
        <v>0.43890000000000001</v>
      </c>
      <c r="S147" s="45">
        <v>0.48370000000000002</v>
      </c>
      <c r="T147" s="45">
        <v>0.46539999999999998</v>
      </c>
      <c r="U147" s="45">
        <v>0.4642</v>
      </c>
      <c r="V147" s="45">
        <v>0.48259999999999997</v>
      </c>
      <c r="W147" s="45">
        <v>0.45290000000000002</v>
      </c>
      <c r="X147" s="46">
        <v>0.4012</v>
      </c>
    </row>
    <row r="148" spans="1:24" ht="20.45">
      <c r="A148" s="33" t="s">
        <v>55</v>
      </c>
      <c r="B148" s="34" t="s">
        <v>300</v>
      </c>
      <c r="C148" s="34" t="s">
        <v>897</v>
      </c>
      <c r="D148" s="35" t="s">
        <v>302</v>
      </c>
      <c r="E148" s="36">
        <v>2023</v>
      </c>
      <c r="F148" s="37" t="s">
        <v>113</v>
      </c>
      <c r="G148" s="38" t="s">
        <v>289</v>
      </c>
      <c r="H148" s="47">
        <v>0.55789999999999995</v>
      </c>
      <c r="I148" s="45">
        <v>0.54279999999999995</v>
      </c>
      <c r="J148" s="45">
        <v>0.53349999999999997</v>
      </c>
      <c r="K148" s="45">
        <v>0.59199999999999997</v>
      </c>
      <c r="L148" s="45">
        <v>0.61399999999999999</v>
      </c>
      <c r="M148" s="45">
        <v>0.59950000000000003</v>
      </c>
      <c r="N148" s="45">
        <v>0.59099999999999997</v>
      </c>
      <c r="O148" s="45">
        <v>0.5887</v>
      </c>
      <c r="P148" s="45">
        <v>0.55720000000000003</v>
      </c>
      <c r="Q148" s="45">
        <v>0.50600000000000001</v>
      </c>
      <c r="R148" s="45">
        <v>0.56110000000000004</v>
      </c>
      <c r="S148" s="45">
        <v>0.51629999999999998</v>
      </c>
      <c r="T148" s="45">
        <v>0.53459999999999996</v>
      </c>
      <c r="U148" s="45">
        <v>0.53580000000000005</v>
      </c>
      <c r="V148" s="45">
        <v>0.51739999999999997</v>
      </c>
      <c r="W148" s="45">
        <v>0.54710000000000003</v>
      </c>
      <c r="X148" s="46">
        <v>0.5988</v>
      </c>
    </row>
    <row r="149" spans="1:24" ht="20.45">
      <c r="A149" s="33" t="s">
        <v>55</v>
      </c>
      <c r="B149" s="34" t="s">
        <v>303</v>
      </c>
      <c r="C149" s="34" t="s">
        <v>898</v>
      </c>
      <c r="D149" s="35" t="s">
        <v>304</v>
      </c>
      <c r="E149" s="36">
        <v>2022</v>
      </c>
      <c r="F149" s="37" t="s">
        <v>113</v>
      </c>
      <c r="G149" s="38" t="s">
        <v>289</v>
      </c>
      <c r="H149" s="47">
        <v>0.38109999999999999</v>
      </c>
      <c r="I149" s="45">
        <v>0.33179999999999998</v>
      </c>
      <c r="J149" s="45">
        <v>0.31709999999999999</v>
      </c>
      <c r="K149" s="45">
        <v>0.36759999999999998</v>
      </c>
      <c r="L149" s="45">
        <v>0.40429999999999999</v>
      </c>
      <c r="M149" s="45">
        <v>0.40110000000000001</v>
      </c>
      <c r="N149" s="45">
        <v>0.42380000000000001</v>
      </c>
      <c r="O149" s="45">
        <v>0.44729999999999998</v>
      </c>
      <c r="P149" s="45">
        <v>0.3448</v>
      </c>
      <c r="Q149" s="45">
        <v>0.2833</v>
      </c>
      <c r="R149" s="45">
        <v>0.25629999999999997</v>
      </c>
      <c r="S149" s="45">
        <v>0.30530000000000002</v>
      </c>
      <c r="T149" s="45">
        <v>0.26200000000000001</v>
      </c>
      <c r="U149" s="45">
        <v>0.32779999999999998</v>
      </c>
      <c r="V149" s="45">
        <v>0.3049</v>
      </c>
      <c r="W149" s="45">
        <v>0.3574</v>
      </c>
      <c r="X149" s="46">
        <v>0.40029999999999999</v>
      </c>
    </row>
    <row r="150" spans="1:24" ht="20.45">
      <c r="A150" s="33" t="s">
        <v>55</v>
      </c>
      <c r="B150" s="34" t="s">
        <v>303</v>
      </c>
      <c r="C150" s="34" t="s">
        <v>899</v>
      </c>
      <c r="D150" s="35" t="s">
        <v>305</v>
      </c>
      <c r="E150" s="36">
        <v>2022</v>
      </c>
      <c r="F150" s="37" t="s">
        <v>113</v>
      </c>
      <c r="G150" s="38" t="s">
        <v>289</v>
      </c>
      <c r="H150" s="47">
        <v>0.61890000000000001</v>
      </c>
      <c r="I150" s="45">
        <v>0.66820000000000002</v>
      </c>
      <c r="J150" s="45">
        <v>0.68289999999999995</v>
      </c>
      <c r="K150" s="45">
        <v>0.63239999999999996</v>
      </c>
      <c r="L150" s="45">
        <v>0.59570000000000001</v>
      </c>
      <c r="M150" s="45">
        <v>0.59889999999999999</v>
      </c>
      <c r="N150" s="45">
        <v>0.57620000000000005</v>
      </c>
      <c r="O150" s="45">
        <v>0.55269999999999997</v>
      </c>
      <c r="P150" s="45">
        <v>0.6552</v>
      </c>
      <c r="Q150" s="45">
        <v>0.7167</v>
      </c>
      <c r="R150" s="45">
        <v>0.74370000000000003</v>
      </c>
      <c r="S150" s="45">
        <v>0.69469999999999998</v>
      </c>
      <c r="T150" s="45">
        <v>0.73799999999999999</v>
      </c>
      <c r="U150" s="45">
        <v>0.67220000000000002</v>
      </c>
      <c r="V150" s="45">
        <v>0.69510000000000005</v>
      </c>
      <c r="W150" s="45">
        <v>0.64259999999999995</v>
      </c>
      <c r="X150" s="46">
        <v>0.59970000000000001</v>
      </c>
    </row>
    <row r="151" spans="1:24" ht="39.6">
      <c r="A151" s="33" t="s">
        <v>55</v>
      </c>
      <c r="B151" s="34" t="s">
        <v>306</v>
      </c>
      <c r="C151" s="34" t="s">
        <v>900</v>
      </c>
      <c r="D151" s="35" t="s">
        <v>307</v>
      </c>
      <c r="E151" s="36">
        <v>2021</v>
      </c>
      <c r="F151" s="37" t="s">
        <v>113</v>
      </c>
      <c r="G151" s="38" t="s">
        <v>289</v>
      </c>
      <c r="H151" s="47">
        <v>0.55869999999999997</v>
      </c>
      <c r="I151" s="45">
        <v>0.50609999999999999</v>
      </c>
      <c r="J151" s="45">
        <v>0.48680000000000001</v>
      </c>
      <c r="K151" s="45">
        <v>0.59789999999999999</v>
      </c>
      <c r="L151" s="45">
        <v>0.65439999999999998</v>
      </c>
      <c r="M151" s="45">
        <v>0.63280000000000003</v>
      </c>
      <c r="N151" s="45">
        <v>0.59289999999999998</v>
      </c>
      <c r="O151" s="45">
        <v>0.60329999999999995</v>
      </c>
      <c r="P151" s="45">
        <v>0.55330000000000001</v>
      </c>
      <c r="Q151" s="45">
        <v>0.48949999999999999</v>
      </c>
      <c r="R151" s="45">
        <v>0.41449999999999998</v>
      </c>
      <c r="S151" s="45">
        <v>0.48159999999999997</v>
      </c>
      <c r="T151" s="45">
        <v>0.39860000000000001</v>
      </c>
      <c r="U151" s="45">
        <v>0.50470000000000004</v>
      </c>
      <c r="V151" s="45">
        <v>0.50039999999999996</v>
      </c>
      <c r="W151" s="45">
        <v>0.56259999999999999</v>
      </c>
      <c r="X151" s="46">
        <v>0.55800000000000005</v>
      </c>
    </row>
    <row r="152" spans="1:24" ht="39.6">
      <c r="A152" s="33" t="s">
        <v>55</v>
      </c>
      <c r="B152" s="34" t="s">
        <v>306</v>
      </c>
      <c r="C152" s="34" t="s">
        <v>888</v>
      </c>
      <c r="D152" s="35" t="s">
        <v>308</v>
      </c>
      <c r="E152" s="36">
        <v>2021</v>
      </c>
      <c r="F152" s="37" t="s">
        <v>113</v>
      </c>
      <c r="G152" s="38" t="s">
        <v>289</v>
      </c>
      <c r="H152" s="47">
        <v>0.44130000000000003</v>
      </c>
      <c r="I152" s="45">
        <v>0.49390000000000001</v>
      </c>
      <c r="J152" s="45">
        <v>0.51319999999999999</v>
      </c>
      <c r="K152" s="45">
        <v>0.40210000000000001</v>
      </c>
      <c r="L152" s="45">
        <v>0.34560000000000002</v>
      </c>
      <c r="M152" s="45">
        <v>0.36720000000000003</v>
      </c>
      <c r="N152" s="45">
        <v>0.40710000000000002</v>
      </c>
      <c r="O152" s="45">
        <v>0.3967</v>
      </c>
      <c r="P152" s="45">
        <v>0.42670000000000002</v>
      </c>
      <c r="Q152" s="45">
        <v>0.51049999999999995</v>
      </c>
      <c r="R152" s="45">
        <v>0.58550000000000002</v>
      </c>
      <c r="S152" s="45">
        <v>0.51839999999999997</v>
      </c>
      <c r="T152" s="45">
        <v>0.60140000000000005</v>
      </c>
      <c r="U152" s="45">
        <v>0.49530000000000002</v>
      </c>
      <c r="V152" s="45">
        <v>0.49959999999999999</v>
      </c>
      <c r="W152" s="45">
        <v>0.43740000000000001</v>
      </c>
      <c r="X152" s="46">
        <v>0.3871</v>
      </c>
    </row>
    <row r="153" spans="1:24" ht="20.45">
      <c r="A153" s="33" t="s">
        <v>57</v>
      </c>
      <c r="B153" s="34" t="s">
        <v>309</v>
      </c>
      <c r="C153" s="34">
        <v>2025</v>
      </c>
      <c r="D153" s="35" t="s">
        <v>39</v>
      </c>
      <c r="E153" s="36">
        <v>2025</v>
      </c>
      <c r="F153" s="37" t="s">
        <v>310</v>
      </c>
      <c r="G153" s="38" t="s">
        <v>311</v>
      </c>
      <c r="H153" s="60">
        <v>5.4</v>
      </c>
      <c r="I153" s="65">
        <v>10.6</v>
      </c>
      <c r="J153" s="65">
        <v>3.7</v>
      </c>
      <c r="K153" s="65">
        <v>5.4</v>
      </c>
      <c r="L153" s="65">
        <v>6.9</v>
      </c>
      <c r="M153" s="65">
        <v>3.8</v>
      </c>
      <c r="N153" s="65">
        <v>5.4</v>
      </c>
      <c r="O153" s="65">
        <v>6.2</v>
      </c>
      <c r="P153" s="65">
        <v>4.0999999999999996</v>
      </c>
      <c r="Q153" s="65">
        <v>4.3</v>
      </c>
      <c r="R153" s="65">
        <v>2.9</v>
      </c>
      <c r="S153" s="65">
        <v>5.7</v>
      </c>
      <c r="T153" s="65">
        <v>3.4</v>
      </c>
      <c r="U153" s="65">
        <v>4.8</v>
      </c>
      <c r="V153" s="65">
        <v>4.5</v>
      </c>
      <c r="W153" s="65">
        <v>8.3000000000000007</v>
      </c>
      <c r="X153" s="66">
        <v>4.3</v>
      </c>
    </row>
    <row r="154" spans="1:24" ht="20.45">
      <c r="A154" s="33" t="s">
        <v>57</v>
      </c>
      <c r="B154" s="34" t="s">
        <v>309</v>
      </c>
      <c r="C154" s="34">
        <v>2024</v>
      </c>
      <c r="D154" s="35" t="s">
        <v>312</v>
      </c>
      <c r="E154" s="36">
        <v>2024</v>
      </c>
      <c r="F154" s="37" t="s">
        <v>310</v>
      </c>
      <c r="G154" s="38" t="s">
        <v>311</v>
      </c>
      <c r="H154" s="60">
        <v>5.4</v>
      </c>
      <c r="I154" s="65">
        <v>9.9</v>
      </c>
      <c r="J154" s="65">
        <v>7.9</v>
      </c>
      <c r="K154" s="65">
        <v>7</v>
      </c>
      <c r="L154" s="65">
        <v>8.1</v>
      </c>
      <c r="M154" s="65">
        <v>5.3</v>
      </c>
      <c r="N154" s="65">
        <v>6.7</v>
      </c>
      <c r="O154" s="65">
        <v>6.6</v>
      </c>
      <c r="P154" s="65">
        <v>5.5</v>
      </c>
      <c r="Q154" s="65">
        <v>3.5</v>
      </c>
      <c r="R154" s="65">
        <v>3.8</v>
      </c>
      <c r="S154" s="65">
        <v>6.6</v>
      </c>
      <c r="T154" s="65">
        <v>4.3</v>
      </c>
      <c r="U154" s="65">
        <v>5.8</v>
      </c>
      <c r="V154" s="65">
        <v>3.1</v>
      </c>
      <c r="W154" s="65">
        <v>9.1999999999999993</v>
      </c>
      <c r="X154" s="66">
        <v>2.7</v>
      </c>
    </row>
    <row r="155" spans="1:24" ht="20.45">
      <c r="A155" s="33" t="s">
        <v>57</v>
      </c>
      <c r="B155" s="34" t="s">
        <v>309</v>
      </c>
      <c r="C155" s="34">
        <v>2023</v>
      </c>
      <c r="D155" s="35" t="s">
        <v>313</v>
      </c>
      <c r="E155" s="36">
        <v>2023</v>
      </c>
      <c r="F155" s="37" t="s">
        <v>310</v>
      </c>
      <c r="G155" s="38" t="s">
        <v>311</v>
      </c>
      <c r="H155" s="60">
        <v>6.1</v>
      </c>
      <c r="I155" s="65">
        <v>12.3</v>
      </c>
      <c r="J155" s="65">
        <v>10.7</v>
      </c>
      <c r="K155" s="65">
        <v>8.3000000000000007</v>
      </c>
      <c r="L155" s="65">
        <v>7.8</v>
      </c>
      <c r="M155" s="65">
        <v>6</v>
      </c>
      <c r="N155" s="65">
        <v>6.8</v>
      </c>
      <c r="O155" s="65">
        <v>6.7</v>
      </c>
      <c r="P155" s="65">
        <v>4.7</v>
      </c>
      <c r="Q155" s="65">
        <v>4.7</v>
      </c>
      <c r="R155" s="65">
        <v>2.7</v>
      </c>
      <c r="S155" s="65">
        <v>6.7</v>
      </c>
      <c r="T155" s="65">
        <v>4.0999999999999996</v>
      </c>
      <c r="U155" s="65">
        <v>4.4000000000000004</v>
      </c>
      <c r="V155" s="65">
        <v>4.5</v>
      </c>
      <c r="W155" s="65">
        <v>4.5999999999999996</v>
      </c>
      <c r="X155" s="66">
        <v>4.9000000000000004</v>
      </c>
    </row>
    <row r="156" spans="1:24" ht="20.45">
      <c r="A156" s="33" t="s">
        <v>57</v>
      </c>
      <c r="B156" s="34" t="s">
        <v>309</v>
      </c>
      <c r="C156" s="34">
        <v>2022</v>
      </c>
      <c r="D156" s="35" t="s">
        <v>314</v>
      </c>
      <c r="E156" s="36">
        <v>2022</v>
      </c>
      <c r="F156" s="37" t="s">
        <v>310</v>
      </c>
      <c r="G156" s="38" t="s">
        <v>311</v>
      </c>
      <c r="H156" s="60">
        <v>6.7</v>
      </c>
      <c r="I156" s="65">
        <v>17.5</v>
      </c>
      <c r="J156" s="65">
        <v>12.9</v>
      </c>
      <c r="K156" s="65">
        <v>9.6</v>
      </c>
      <c r="L156" s="65">
        <v>8.5</v>
      </c>
      <c r="M156" s="65">
        <v>8</v>
      </c>
      <c r="N156" s="65">
        <v>7</v>
      </c>
      <c r="O156" s="65">
        <v>6.7</v>
      </c>
      <c r="P156" s="65">
        <v>4.4000000000000004</v>
      </c>
      <c r="Q156" s="65">
        <v>4.5</v>
      </c>
      <c r="R156" s="65">
        <v>4.4000000000000004</v>
      </c>
      <c r="S156" s="65">
        <v>7.5</v>
      </c>
      <c r="T156" s="65">
        <v>4.8</v>
      </c>
      <c r="U156" s="65">
        <v>7.6</v>
      </c>
      <c r="V156" s="65">
        <v>5</v>
      </c>
      <c r="W156" s="65">
        <v>2.8</v>
      </c>
      <c r="X156" s="66">
        <v>2.2000000000000002</v>
      </c>
    </row>
    <row r="157" spans="1:24" ht="20.45">
      <c r="A157" s="33" t="s">
        <v>57</v>
      </c>
      <c r="B157" s="34" t="s">
        <v>309</v>
      </c>
      <c r="C157" s="34">
        <v>2021</v>
      </c>
      <c r="D157" s="35" t="s">
        <v>315</v>
      </c>
      <c r="E157" s="36">
        <v>2021</v>
      </c>
      <c r="F157" s="37" t="s">
        <v>310</v>
      </c>
      <c r="G157" s="38" t="s">
        <v>311</v>
      </c>
      <c r="H157" s="60">
        <v>4.7</v>
      </c>
      <c r="I157" s="65">
        <v>8.6</v>
      </c>
      <c r="J157" s="65">
        <v>13.5</v>
      </c>
      <c r="K157" s="65">
        <v>4.5</v>
      </c>
      <c r="L157" s="65">
        <v>4.4000000000000004</v>
      </c>
      <c r="M157" s="65">
        <v>3.7</v>
      </c>
      <c r="N157" s="65">
        <v>3.4</v>
      </c>
      <c r="O157" s="65">
        <v>4.9000000000000004</v>
      </c>
      <c r="P157" s="65">
        <v>4.5999999999999996</v>
      </c>
      <c r="Q157" s="65">
        <v>3.8</v>
      </c>
      <c r="R157" s="65">
        <v>3.7</v>
      </c>
      <c r="S157" s="65">
        <v>4.8</v>
      </c>
      <c r="T157" s="65">
        <v>3.2</v>
      </c>
      <c r="U157" s="65">
        <v>4.2</v>
      </c>
      <c r="V157" s="65">
        <v>3.8</v>
      </c>
      <c r="W157" s="65">
        <v>3.7</v>
      </c>
      <c r="X157" s="66">
        <v>2.8</v>
      </c>
    </row>
    <row r="158" spans="1:24" ht="20.45">
      <c r="A158" s="33" t="s">
        <v>57</v>
      </c>
      <c r="B158" s="34" t="s">
        <v>309</v>
      </c>
      <c r="C158" s="34">
        <v>2020</v>
      </c>
      <c r="D158" s="35" t="s">
        <v>316</v>
      </c>
      <c r="E158" s="36">
        <v>2020</v>
      </c>
      <c r="F158" s="37" t="s">
        <v>310</v>
      </c>
      <c r="G158" s="38" t="s">
        <v>311</v>
      </c>
      <c r="H158" s="60">
        <v>5.8</v>
      </c>
      <c r="I158" s="65">
        <v>6.7</v>
      </c>
      <c r="J158" s="65">
        <v>5.2</v>
      </c>
      <c r="K158" s="65">
        <v>7.4</v>
      </c>
      <c r="L158" s="65">
        <v>2.9</v>
      </c>
      <c r="M158" s="65">
        <v>4.9000000000000004</v>
      </c>
      <c r="N158" s="65">
        <v>5.6</v>
      </c>
      <c r="O158" s="65">
        <v>7.1</v>
      </c>
      <c r="P158" s="65">
        <v>5.0999999999999996</v>
      </c>
      <c r="Q158" s="65">
        <v>4.2</v>
      </c>
      <c r="R158" s="65">
        <v>2.7</v>
      </c>
      <c r="S158" s="65">
        <v>5</v>
      </c>
      <c r="T158" s="65">
        <v>3.6</v>
      </c>
      <c r="U158" s="65">
        <v>4.4000000000000004</v>
      </c>
      <c r="V158" s="65">
        <v>3.7</v>
      </c>
      <c r="W158" s="65">
        <v>6.5</v>
      </c>
      <c r="X158" s="66">
        <v>1.1000000000000001</v>
      </c>
    </row>
    <row r="159" spans="1:24" ht="20.45">
      <c r="A159" s="33" t="s">
        <v>57</v>
      </c>
      <c r="B159" s="34" t="s">
        <v>309</v>
      </c>
      <c r="C159" s="34">
        <v>2019</v>
      </c>
      <c r="D159" s="35" t="s">
        <v>317</v>
      </c>
      <c r="E159" s="36">
        <v>2019</v>
      </c>
      <c r="F159" s="37" t="s">
        <v>310</v>
      </c>
      <c r="G159" s="38" t="s">
        <v>311</v>
      </c>
      <c r="H159" s="60">
        <v>4.9000000000000004</v>
      </c>
      <c r="I159" s="65">
        <v>5.7</v>
      </c>
      <c r="J159" s="65">
        <v>6.5</v>
      </c>
      <c r="K159" s="65">
        <v>4.5999999999999996</v>
      </c>
      <c r="L159" s="65">
        <v>3.2</v>
      </c>
      <c r="M159" s="65">
        <v>4.3</v>
      </c>
      <c r="N159" s="65">
        <v>4.2</v>
      </c>
      <c r="O159" s="65">
        <v>5.7</v>
      </c>
      <c r="P159" s="65">
        <v>3.5</v>
      </c>
      <c r="Q159" s="65">
        <v>3.6</v>
      </c>
      <c r="R159" s="65">
        <v>2.4</v>
      </c>
      <c r="S159" s="65">
        <v>4.2</v>
      </c>
      <c r="T159" s="65">
        <v>4.4000000000000004</v>
      </c>
      <c r="U159" s="65">
        <v>5.2</v>
      </c>
      <c r="V159" s="65">
        <v>4.4000000000000004</v>
      </c>
      <c r="W159" s="65">
        <v>8.4</v>
      </c>
      <c r="X159" s="66">
        <v>3.4</v>
      </c>
    </row>
    <row r="160" spans="1:24" ht="20.45">
      <c r="A160" s="33" t="s">
        <v>57</v>
      </c>
      <c r="B160" s="34" t="s">
        <v>309</v>
      </c>
      <c r="C160" s="34">
        <v>2018</v>
      </c>
      <c r="D160" s="35" t="s">
        <v>318</v>
      </c>
      <c r="E160" s="36">
        <v>2018</v>
      </c>
      <c r="F160" s="37" t="s">
        <v>310</v>
      </c>
      <c r="G160" s="38" t="s">
        <v>311</v>
      </c>
      <c r="H160" s="60">
        <v>4.5</v>
      </c>
      <c r="I160" s="65">
        <v>5.8</v>
      </c>
      <c r="J160" s="65">
        <v>3.7</v>
      </c>
      <c r="K160" s="65">
        <v>5</v>
      </c>
      <c r="L160" s="65">
        <v>5.2</v>
      </c>
      <c r="M160" s="65">
        <v>3.8</v>
      </c>
      <c r="N160" s="65">
        <v>4.0999999999999996</v>
      </c>
      <c r="O160" s="65">
        <v>5.3</v>
      </c>
      <c r="P160" s="65">
        <v>4.0999999999999996</v>
      </c>
      <c r="Q160" s="65">
        <v>3.3</v>
      </c>
      <c r="R160" s="65">
        <v>2.4</v>
      </c>
      <c r="S160" s="65">
        <v>3.5</v>
      </c>
      <c r="T160" s="65">
        <v>4.4000000000000004</v>
      </c>
      <c r="U160" s="65">
        <v>3.7</v>
      </c>
      <c r="V160" s="65">
        <v>3.6</v>
      </c>
      <c r="W160" s="65">
        <v>8.5</v>
      </c>
      <c r="X160" s="66">
        <v>2.2999999999999998</v>
      </c>
    </row>
    <row r="161" spans="1:24" ht="39.6">
      <c r="A161" s="33" t="s">
        <v>57</v>
      </c>
      <c r="B161" s="34" t="s">
        <v>319</v>
      </c>
      <c r="C161" s="34" t="s">
        <v>320</v>
      </c>
      <c r="D161" s="35" t="s">
        <v>320</v>
      </c>
      <c r="E161" s="36" t="s">
        <v>321</v>
      </c>
      <c r="F161" s="37" t="s">
        <v>322</v>
      </c>
      <c r="G161" s="38" t="s">
        <v>311</v>
      </c>
      <c r="H161" s="42">
        <v>6040</v>
      </c>
      <c r="I161" s="65">
        <v>103</v>
      </c>
      <c r="J161" s="65">
        <v>178</v>
      </c>
      <c r="K161" s="65">
        <v>339</v>
      </c>
      <c r="L161" s="65">
        <v>115</v>
      </c>
      <c r="M161" s="65">
        <v>235</v>
      </c>
      <c r="N161" s="65">
        <v>730</v>
      </c>
      <c r="O161" s="65">
        <v>2832</v>
      </c>
      <c r="P161" s="65">
        <v>207</v>
      </c>
      <c r="Q161" s="65">
        <v>218</v>
      </c>
      <c r="R161" s="65">
        <v>130</v>
      </c>
      <c r="S161" s="65">
        <v>452</v>
      </c>
      <c r="T161" s="65">
        <v>203</v>
      </c>
      <c r="U161" s="65">
        <v>100</v>
      </c>
      <c r="V161" s="65">
        <v>157</v>
      </c>
      <c r="W161" s="65">
        <v>21</v>
      </c>
      <c r="X161" s="66">
        <v>20</v>
      </c>
    </row>
    <row r="162" spans="1:24" ht="39.6">
      <c r="A162" s="33" t="s">
        <v>57</v>
      </c>
      <c r="B162" s="34" t="s">
        <v>323</v>
      </c>
      <c r="C162" s="34">
        <v>2021</v>
      </c>
      <c r="D162" s="35" t="s">
        <v>324</v>
      </c>
      <c r="E162" s="36">
        <v>2021</v>
      </c>
      <c r="F162" s="37" t="s">
        <v>325</v>
      </c>
      <c r="G162" s="38" t="s">
        <v>311</v>
      </c>
      <c r="H162" s="39"/>
      <c r="I162" s="61">
        <v>0.78821461507539303</v>
      </c>
      <c r="J162" s="61">
        <v>1.03152335368873</v>
      </c>
      <c r="K162" s="61">
        <v>0.85790516716282195</v>
      </c>
      <c r="L162" s="61">
        <v>0.63759245090538097</v>
      </c>
      <c r="M162" s="61">
        <v>0.46219477812339699</v>
      </c>
      <c r="N162" s="61">
        <v>0.39550508471224499</v>
      </c>
      <c r="O162" s="61">
        <v>0.47947890232894902</v>
      </c>
      <c r="P162" s="61">
        <v>0.59948324544242904</v>
      </c>
      <c r="Q162" s="61">
        <v>0.51556136039457601</v>
      </c>
      <c r="R162" s="61">
        <v>0.37643657608347902</v>
      </c>
      <c r="S162" s="61">
        <v>0.233360247548551</v>
      </c>
      <c r="T162" s="61">
        <v>0.19175455417066201</v>
      </c>
      <c r="U162" s="61">
        <v>0</v>
      </c>
      <c r="V162" s="61">
        <v>0.22178604300431401</v>
      </c>
      <c r="W162" s="61">
        <v>0</v>
      </c>
      <c r="X162" s="62">
        <v>0</v>
      </c>
    </row>
    <row r="163" spans="1:24" ht="39.6">
      <c r="A163" s="33" t="s">
        <v>57</v>
      </c>
      <c r="B163" s="34" t="s">
        <v>323</v>
      </c>
      <c r="C163" s="34">
        <v>2022</v>
      </c>
      <c r="D163" s="35" t="s">
        <v>326</v>
      </c>
      <c r="E163" s="36">
        <v>2022</v>
      </c>
      <c r="F163" s="37" t="s">
        <v>325</v>
      </c>
      <c r="G163" s="38" t="s">
        <v>311</v>
      </c>
      <c r="H163" s="39"/>
      <c r="I163" s="61">
        <v>1.5637094315134401</v>
      </c>
      <c r="J163" s="61">
        <v>0.50832638620605497</v>
      </c>
      <c r="K163" s="61">
        <v>0.283507785123779</v>
      </c>
      <c r="L163" s="61">
        <v>0</v>
      </c>
      <c r="M163" s="61">
        <v>0.22815267064108599</v>
      </c>
      <c r="N163" s="61">
        <v>0.58839681481190897</v>
      </c>
      <c r="O163" s="61">
        <v>0.26170163159071802</v>
      </c>
      <c r="P163" s="61">
        <v>0.59424650533534296</v>
      </c>
      <c r="Q163" s="61">
        <v>0.34046551850345003</v>
      </c>
      <c r="R163" s="61">
        <v>0.37406110662237801</v>
      </c>
      <c r="S163" s="61">
        <v>0.34868678744402098</v>
      </c>
      <c r="T163" s="61">
        <v>0.57246336711503298</v>
      </c>
      <c r="U163" s="61">
        <v>0.95591327954728</v>
      </c>
      <c r="V163" s="61">
        <v>1.543138434949</v>
      </c>
      <c r="W163" s="61">
        <v>0</v>
      </c>
      <c r="X163" s="62">
        <v>0</v>
      </c>
    </row>
    <row r="164" spans="1:24" ht="39.6">
      <c r="A164" s="33" t="s">
        <v>57</v>
      </c>
      <c r="B164" s="34" t="s">
        <v>323</v>
      </c>
      <c r="C164" s="34">
        <v>2023</v>
      </c>
      <c r="D164" s="35" t="s">
        <v>327</v>
      </c>
      <c r="E164" s="36">
        <v>2023</v>
      </c>
      <c r="F164" s="37" t="s">
        <v>325</v>
      </c>
      <c r="G164" s="38" t="s">
        <v>311</v>
      </c>
      <c r="H164" s="39"/>
      <c r="I164" s="61">
        <v>0</v>
      </c>
      <c r="J164" s="61">
        <v>0</v>
      </c>
      <c r="K164" s="61">
        <v>0.28163460726054002</v>
      </c>
      <c r="L164" s="61">
        <v>0.632407067781389</v>
      </c>
      <c r="M164" s="61">
        <v>0.45075196696889602</v>
      </c>
      <c r="N164" s="61">
        <v>0.29192704937654101</v>
      </c>
      <c r="O164" s="61">
        <v>0.283720473860478</v>
      </c>
      <c r="P164" s="61">
        <v>0.58935738435334695</v>
      </c>
      <c r="Q164" s="61">
        <v>0.50611983230562896</v>
      </c>
      <c r="R164" s="61">
        <v>0.371834295764435</v>
      </c>
      <c r="S164" s="61">
        <v>0.69490449695863499</v>
      </c>
      <c r="T164" s="61">
        <v>0.94977585289871602</v>
      </c>
      <c r="U164" s="61">
        <v>0</v>
      </c>
      <c r="V164" s="61">
        <v>0.87675076167722399</v>
      </c>
      <c r="W164" s="61">
        <v>0</v>
      </c>
      <c r="X164" s="62">
        <v>1.1169315656029799</v>
      </c>
    </row>
    <row r="165" spans="1:24" ht="39.6">
      <c r="A165" s="33" t="s">
        <v>57</v>
      </c>
      <c r="B165" s="34" t="s">
        <v>323</v>
      </c>
      <c r="C165" s="34">
        <v>2024</v>
      </c>
      <c r="D165" s="35" t="s">
        <v>328</v>
      </c>
      <c r="E165" s="36">
        <v>2024</v>
      </c>
      <c r="F165" s="37" t="s">
        <v>325</v>
      </c>
      <c r="G165" s="38" t="s">
        <v>311</v>
      </c>
      <c r="H165" s="39"/>
      <c r="I165" s="61">
        <v>0.77128357011738902</v>
      </c>
      <c r="J165" s="61">
        <v>0.99177324096618502</v>
      </c>
      <c r="K165" s="61">
        <v>0.559874364192675</v>
      </c>
      <c r="L165" s="61">
        <v>0.63027461064785895</v>
      </c>
      <c r="M165" s="61">
        <v>0.89083090025143696</v>
      </c>
      <c r="N165" s="61">
        <v>0.38634464840222299</v>
      </c>
      <c r="O165" s="61">
        <v>0.25858715033434099</v>
      </c>
      <c r="P165" s="61">
        <v>0.58469388351728402</v>
      </c>
      <c r="Q165" s="61">
        <v>0.66897015389658399</v>
      </c>
      <c r="R165" s="61">
        <v>0.73942893903038698</v>
      </c>
      <c r="S165" s="61">
        <v>0.46173221147797</v>
      </c>
      <c r="T165" s="61">
        <v>0.94566940154257595</v>
      </c>
      <c r="U165" s="61">
        <v>0</v>
      </c>
      <c r="V165" s="61">
        <v>0.217979849942671</v>
      </c>
      <c r="W165" s="61">
        <v>0</v>
      </c>
      <c r="X165" s="62">
        <v>0</v>
      </c>
    </row>
    <row r="166" spans="1:24" ht="39.6">
      <c r="A166" s="33" t="s">
        <v>57</v>
      </c>
      <c r="B166" s="34" t="s">
        <v>329</v>
      </c>
      <c r="C166" s="34">
        <v>2024</v>
      </c>
      <c r="D166" s="35" t="s">
        <v>330</v>
      </c>
      <c r="E166" s="36">
        <v>2024</v>
      </c>
      <c r="F166" s="37" t="s">
        <v>331</v>
      </c>
      <c r="G166" s="38" t="s">
        <v>164</v>
      </c>
      <c r="H166" s="39"/>
      <c r="I166" s="50">
        <v>0.193</v>
      </c>
      <c r="J166" s="50">
        <v>0.27500000000000002</v>
      </c>
      <c r="K166" s="50">
        <v>0.214</v>
      </c>
      <c r="L166" s="50">
        <v>0.156</v>
      </c>
      <c r="M166" s="50">
        <v>0.14599999999999999</v>
      </c>
      <c r="N166" s="50">
        <v>0.192</v>
      </c>
      <c r="O166" s="50">
        <v>0.23100000000000001</v>
      </c>
      <c r="P166" s="50">
        <v>0.14000000000000001</v>
      </c>
      <c r="Q166" s="50">
        <v>0.214</v>
      </c>
      <c r="R166" s="50">
        <v>0.11</v>
      </c>
      <c r="S166" s="50">
        <v>0.13200000000000001</v>
      </c>
      <c r="T166" s="50">
        <v>0.20100000000000001</v>
      </c>
      <c r="U166" s="50">
        <v>0.16</v>
      </c>
      <c r="V166" s="50">
        <v>0.21099999999999999</v>
      </c>
      <c r="W166" s="50">
        <v>0.18099999999999999</v>
      </c>
      <c r="X166" s="51">
        <v>0.20200000000000001</v>
      </c>
    </row>
    <row r="167" spans="1:24" ht="39.6">
      <c r="A167" s="33" t="s">
        <v>57</v>
      </c>
      <c r="B167" s="34" t="s">
        <v>329</v>
      </c>
      <c r="C167" s="34">
        <v>2020</v>
      </c>
      <c r="D167" s="35" t="s">
        <v>332</v>
      </c>
      <c r="E167" s="36">
        <v>2020</v>
      </c>
      <c r="F167" s="37" t="s">
        <v>331</v>
      </c>
      <c r="G167" s="38" t="s">
        <v>164</v>
      </c>
      <c r="H167" s="39"/>
      <c r="I167" s="50">
        <v>0.28999999999999998</v>
      </c>
      <c r="J167" s="50">
        <v>0.26400000000000001</v>
      </c>
      <c r="K167" s="50">
        <v>0.247</v>
      </c>
      <c r="L167" s="50">
        <v>0.219</v>
      </c>
      <c r="M167" s="50">
        <v>0.29499999999999998</v>
      </c>
      <c r="N167" s="50">
        <v>0.23400000000000001</v>
      </c>
      <c r="O167" s="50">
        <v>0.193</v>
      </c>
      <c r="P167" s="50">
        <v>0.19800000000000001</v>
      </c>
      <c r="Q167" s="50">
        <v>0.255</v>
      </c>
      <c r="R167" s="50">
        <v>0.22700000000000001</v>
      </c>
      <c r="S167" s="50">
        <v>0.26</v>
      </c>
      <c r="T167" s="50">
        <v>0.245</v>
      </c>
      <c r="U167" s="50">
        <v>0.20799999999999999</v>
      </c>
      <c r="V167" s="50">
        <v>0.159</v>
      </c>
      <c r="W167" s="50">
        <v>0.19600000000000001</v>
      </c>
      <c r="X167" s="51">
        <v>0.14599999999999999</v>
      </c>
    </row>
    <row r="168" spans="1:24" ht="20.45">
      <c r="A168" s="33" t="s">
        <v>57</v>
      </c>
      <c r="B168" s="34" t="s">
        <v>323</v>
      </c>
      <c r="C168" s="34">
        <v>2021</v>
      </c>
      <c r="D168" s="35" t="s">
        <v>333</v>
      </c>
      <c r="E168" s="36">
        <v>2021</v>
      </c>
      <c r="F168" s="37" t="s">
        <v>334</v>
      </c>
      <c r="G168" s="38" t="s">
        <v>164</v>
      </c>
      <c r="H168" s="39"/>
      <c r="I168" s="40">
        <v>1</v>
      </c>
      <c r="J168" s="40">
        <v>2</v>
      </c>
      <c r="K168" s="40">
        <v>3</v>
      </c>
      <c r="L168" s="40">
        <v>1</v>
      </c>
      <c r="M168" s="40">
        <v>2</v>
      </c>
      <c r="N168" s="40">
        <v>4</v>
      </c>
      <c r="O168" s="40">
        <v>20</v>
      </c>
      <c r="P168" s="40">
        <v>3</v>
      </c>
      <c r="Q168" s="40">
        <v>3</v>
      </c>
      <c r="R168" s="40">
        <v>1</v>
      </c>
      <c r="S168" s="40">
        <v>2</v>
      </c>
      <c r="T168" s="40">
        <v>1</v>
      </c>
      <c r="U168" s="40">
        <v>0</v>
      </c>
      <c r="V168" s="40">
        <v>1</v>
      </c>
      <c r="W168" s="40">
        <v>0</v>
      </c>
      <c r="X168" s="41">
        <v>0</v>
      </c>
    </row>
    <row r="169" spans="1:24" ht="20.45">
      <c r="A169" s="33" t="s">
        <v>57</v>
      </c>
      <c r="B169" s="34" t="s">
        <v>323</v>
      </c>
      <c r="C169" s="34">
        <v>2022</v>
      </c>
      <c r="D169" s="35" t="s">
        <v>335</v>
      </c>
      <c r="E169" s="36">
        <v>2022</v>
      </c>
      <c r="F169" s="37" t="s">
        <v>334</v>
      </c>
      <c r="G169" s="38" t="s">
        <v>164</v>
      </c>
      <c r="H169" s="39"/>
      <c r="I169" s="40">
        <v>2</v>
      </c>
      <c r="J169" s="40">
        <v>1</v>
      </c>
      <c r="K169" s="40">
        <v>1</v>
      </c>
      <c r="L169" s="40">
        <v>0</v>
      </c>
      <c r="M169" s="40">
        <v>1</v>
      </c>
      <c r="N169" s="40">
        <v>6</v>
      </c>
      <c r="O169" s="40">
        <v>11</v>
      </c>
      <c r="P169" s="40">
        <v>3</v>
      </c>
      <c r="Q169" s="40">
        <v>2</v>
      </c>
      <c r="R169" s="40">
        <v>1</v>
      </c>
      <c r="S169" s="40">
        <v>3</v>
      </c>
      <c r="T169" s="40">
        <v>3</v>
      </c>
      <c r="U169" s="40">
        <v>2</v>
      </c>
      <c r="V169" s="40">
        <v>7</v>
      </c>
      <c r="W169" s="40">
        <v>0</v>
      </c>
      <c r="X169" s="41">
        <v>0</v>
      </c>
    </row>
    <row r="170" spans="1:24" ht="20.45">
      <c r="A170" s="33" t="s">
        <v>57</v>
      </c>
      <c r="B170" s="34" t="s">
        <v>323</v>
      </c>
      <c r="C170" s="34">
        <v>2023</v>
      </c>
      <c r="D170" s="35" t="s">
        <v>336</v>
      </c>
      <c r="E170" s="36">
        <v>2023</v>
      </c>
      <c r="F170" s="37" t="s">
        <v>334</v>
      </c>
      <c r="G170" s="38" t="s">
        <v>164</v>
      </c>
      <c r="H170" s="39"/>
      <c r="I170" s="40">
        <v>0</v>
      </c>
      <c r="J170" s="40">
        <v>0</v>
      </c>
      <c r="K170" s="40">
        <v>1</v>
      </c>
      <c r="L170" s="40">
        <v>1</v>
      </c>
      <c r="M170" s="40">
        <v>2</v>
      </c>
      <c r="N170" s="40">
        <v>3</v>
      </c>
      <c r="O170" s="40">
        <v>12</v>
      </c>
      <c r="P170" s="40">
        <v>3</v>
      </c>
      <c r="Q170" s="40">
        <v>3</v>
      </c>
      <c r="R170" s="40">
        <v>1</v>
      </c>
      <c r="S170" s="40">
        <v>6</v>
      </c>
      <c r="T170" s="40">
        <v>5</v>
      </c>
      <c r="U170" s="40">
        <v>0</v>
      </c>
      <c r="V170" s="40">
        <v>4</v>
      </c>
      <c r="W170" s="40">
        <v>0</v>
      </c>
      <c r="X170" s="41">
        <v>1</v>
      </c>
    </row>
    <row r="171" spans="1:24" ht="20.45">
      <c r="A171" s="33" t="s">
        <v>57</v>
      </c>
      <c r="B171" s="34" t="s">
        <v>323</v>
      </c>
      <c r="C171" s="34">
        <v>2024</v>
      </c>
      <c r="D171" s="35" t="s">
        <v>337</v>
      </c>
      <c r="E171" s="36">
        <v>2024</v>
      </c>
      <c r="F171" s="37" t="s">
        <v>334</v>
      </c>
      <c r="G171" s="38" t="s">
        <v>164</v>
      </c>
      <c r="H171" s="39"/>
      <c r="I171" s="40">
        <v>1</v>
      </c>
      <c r="J171" s="40">
        <v>2</v>
      </c>
      <c r="K171" s="40">
        <v>2</v>
      </c>
      <c r="L171" s="40">
        <v>1</v>
      </c>
      <c r="M171" s="40">
        <v>4</v>
      </c>
      <c r="N171" s="40">
        <v>4</v>
      </c>
      <c r="O171" s="40">
        <v>11</v>
      </c>
      <c r="P171" s="40">
        <v>3</v>
      </c>
      <c r="Q171" s="40">
        <v>4</v>
      </c>
      <c r="R171" s="40">
        <v>2</v>
      </c>
      <c r="S171" s="40">
        <v>4</v>
      </c>
      <c r="T171" s="40">
        <v>5</v>
      </c>
      <c r="U171" s="40">
        <v>0</v>
      </c>
      <c r="V171" s="40">
        <v>1</v>
      </c>
      <c r="W171" s="40">
        <v>0</v>
      </c>
      <c r="X171" s="41">
        <v>0</v>
      </c>
    </row>
    <row r="172" spans="1:24" ht="20.45">
      <c r="A172" s="33" t="s">
        <v>57</v>
      </c>
      <c r="B172" s="34" t="s">
        <v>323</v>
      </c>
      <c r="C172" s="34">
        <v>2025</v>
      </c>
      <c r="D172" s="35" t="s">
        <v>338</v>
      </c>
      <c r="E172" s="36">
        <v>2025</v>
      </c>
      <c r="F172" s="37" t="s">
        <v>334</v>
      </c>
      <c r="G172" s="38" t="s">
        <v>164</v>
      </c>
      <c r="H172" s="39"/>
      <c r="I172" s="40">
        <v>2</v>
      </c>
      <c r="J172" s="40">
        <v>0</v>
      </c>
      <c r="K172" s="40">
        <v>2</v>
      </c>
      <c r="L172" s="40">
        <v>2</v>
      </c>
      <c r="M172" s="40">
        <v>3</v>
      </c>
      <c r="N172" s="40">
        <v>3</v>
      </c>
      <c r="O172" s="40">
        <v>11</v>
      </c>
      <c r="P172" s="40">
        <v>2</v>
      </c>
      <c r="Q172" s="40">
        <v>2</v>
      </c>
      <c r="R172" s="40">
        <v>4</v>
      </c>
      <c r="S172" s="40">
        <v>2</v>
      </c>
      <c r="T172" s="40">
        <v>4</v>
      </c>
      <c r="U172" s="40">
        <v>0</v>
      </c>
      <c r="V172" s="40">
        <v>6</v>
      </c>
      <c r="W172" s="40">
        <v>0</v>
      </c>
      <c r="X172" s="41">
        <v>1</v>
      </c>
    </row>
    <row r="173" spans="1:24" ht="39.6">
      <c r="A173" s="33" t="s">
        <v>57</v>
      </c>
      <c r="B173" s="34" t="s">
        <v>339</v>
      </c>
      <c r="C173" s="34" t="s">
        <v>901</v>
      </c>
      <c r="D173" s="35" t="s">
        <v>340</v>
      </c>
      <c r="E173" s="36">
        <v>2026</v>
      </c>
      <c r="F173" s="37" t="s">
        <v>110</v>
      </c>
      <c r="G173" s="38" t="s">
        <v>341</v>
      </c>
      <c r="H173" s="42">
        <v>64087</v>
      </c>
      <c r="I173" s="43">
        <v>2460</v>
      </c>
      <c r="J173" s="43">
        <v>3579</v>
      </c>
      <c r="K173" s="43">
        <v>3761</v>
      </c>
      <c r="L173" s="43">
        <v>1100</v>
      </c>
      <c r="M173" s="43">
        <v>3167</v>
      </c>
      <c r="N173" s="43">
        <v>5462</v>
      </c>
      <c r="O173" s="43">
        <v>23301</v>
      </c>
      <c r="P173" s="43">
        <v>3576</v>
      </c>
      <c r="Q173" s="43">
        <v>3729</v>
      </c>
      <c r="R173" s="43">
        <v>988</v>
      </c>
      <c r="S173" s="43">
        <v>4352</v>
      </c>
      <c r="T173" s="43">
        <v>3049</v>
      </c>
      <c r="U173" s="43">
        <v>1881</v>
      </c>
      <c r="V173" s="43">
        <v>2751</v>
      </c>
      <c r="W173" s="43">
        <v>359</v>
      </c>
      <c r="X173" s="44">
        <v>579</v>
      </c>
    </row>
    <row r="174" spans="1:24" ht="20.45">
      <c r="A174" s="33" t="s">
        <v>57</v>
      </c>
      <c r="B174" s="34" t="s">
        <v>339</v>
      </c>
      <c r="C174" s="34" t="s">
        <v>805</v>
      </c>
      <c r="D174" s="35" t="s">
        <v>342</v>
      </c>
      <c r="E174" s="36">
        <v>2026</v>
      </c>
      <c r="F174" s="37" t="s">
        <v>110</v>
      </c>
      <c r="G174" s="38" t="s">
        <v>341</v>
      </c>
      <c r="H174" s="39"/>
      <c r="I174" s="43">
        <v>2253</v>
      </c>
      <c r="J174" s="43">
        <v>2975</v>
      </c>
      <c r="K174" s="43">
        <v>3377</v>
      </c>
      <c r="L174" s="43">
        <v>1004</v>
      </c>
      <c r="M174" s="43">
        <v>2992</v>
      </c>
      <c r="N174" s="40">
        <v>5068</v>
      </c>
      <c r="O174" s="40">
        <v>21277</v>
      </c>
      <c r="P174" s="40">
        <v>3380</v>
      </c>
      <c r="Q174" s="40">
        <v>3439</v>
      </c>
      <c r="R174" s="40">
        <v>897</v>
      </c>
      <c r="S174" s="40">
        <v>4021</v>
      </c>
      <c r="T174" s="40">
        <v>2884</v>
      </c>
      <c r="U174" s="40">
        <v>1749</v>
      </c>
      <c r="V174" s="40">
        <v>2602</v>
      </c>
      <c r="W174" s="40">
        <v>348</v>
      </c>
      <c r="X174" s="41">
        <v>534</v>
      </c>
    </row>
    <row r="175" spans="1:24" ht="20.45">
      <c r="A175" s="33" t="s">
        <v>57</v>
      </c>
      <c r="B175" s="34" t="s">
        <v>339</v>
      </c>
      <c r="C175" s="34" t="s">
        <v>806</v>
      </c>
      <c r="D175" s="35" t="s">
        <v>343</v>
      </c>
      <c r="E175" s="36">
        <v>2026</v>
      </c>
      <c r="F175" s="37" t="s">
        <v>110</v>
      </c>
      <c r="G175" s="38" t="s">
        <v>341</v>
      </c>
      <c r="H175" s="39"/>
      <c r="I175" s="43">
        <v>207</v>
      </c>
      <c r="J175" s="43">
        <v>604</v>
      </c>
      <c r="K175" s="43">
        <v>384</v>
      </c>
      <c r="L175" s="43">
        <v>96</v>
      </c>
      <c r="M175" s="43">
        <v>175</v>
      </c>
      <c r="N175" s="40">
        <v>394</v>
      </c>
      <c r="O175" s="40">
        <v>2024</v>
      </c>
      <c r="P175" s="40">
        <v>196</v>
      </c>
      <c r="Q175" s="40">
        <v>290</v>
      </c>
      <c r="R175" s="40">
        <v>91</v>
      </c>
      <c r="S175" s="40">
        <v>331</v>
      </c>
      <c r="T175" s="40">
        <v>165</v>
      </c>
      <c r="U175" s="40">
        <v>132</v>
      </c>
      <c r="V175" s="40">
        <v>149</v>
      </c>
      <c r="W175" s="40">
        <v>11</v>
      </c>
      <c r="X175" s="41">
        <v>38</v>
      </c>
    </row>
    <row r="176" spans="1:24" ht="20.45">
      <c r="A176" s="33" t="s">
        <v>57</v>
      </c>
      <c r="B176" s="34" t="s">
        <v>344</v>
      </c>
      <c r="C176" s="34">
        <v>2025</v>
      </c>
      <c r="D176" s="35" t="s">
        <v>345</v>
      </c>
      <c r="E176" s="36">
        <v>2025</v>
      </c>
      <c r="F176" s="37" t="s">
        <v>346</v>
      </c>
      <c r="G176" s="38" t="s">
        <v>347</v>
      </c>
      <c r="H176" s="47">
        <v>7.9000000000000001E-2</v>
      </c>
      <c r="I176" s="45">
        <v>6.4000000000000001E-2</v>
      </c>
      <c r="J176" s="45">
        <v>8.6999999999999994E-2</v>
      </c>
      <c r="K176" s="45">
        <v>4.8000000000000001E-2</v>
      </c>
      <c r="L176" s="45">
        <v>6.2E-2</v>
      </c>
      <c r="M176" s="45">
        <v>4.5999999999999999E-2</v>
      </c>
      <c r="N176" s="45">
        <v>7.8E-2</v>
      </c>
      <c r="O176" s="45">
        <v>0.10199999999999999</v>
      </c>
      <c r="P176" s="45">
        <v>5.8000000000000003E-2</v>
      </c>
      <c r="Q176" s="45">
        <v>5.1999999999999998E-2</v>
      </c>
      <c r="R176" s="45">
        <v>4.7E-2</v>
      </c>
      <c r="S176" s="45">
        <v>5.5E-2</v>
      </c>
      <c r="T176" s="45">
        <v>4.3999999999999997E-2</v>
      </c>
      <c r="U176" s="45">
        <v>4.9000000000000002E-2</v>
      </c>
      <c r="V176" s="45">
        <v>5.7000000000000002E-2</v>
      </c>
      <c r="W176" s="45">
        <v>2.8000000000000001E-2</v>
      </c>
      <c r="X176" s="46">
        <v>1.4E-2</v>
      </c>
    </row>
    <row r="177" spans="1:24" ht="20.45">
      <c r="A177" s="33" t="s">
        <v>57</v>
      </c>
      <c r="B177" s="34" t="s">
        <v>344</v>
      </c>
      <c r="C177" s="34">
        <v>2024</v>
      </c>
      <c r="D177" s="35" t="s">
        <v>348</v>
      </c>
      <c r="E177" s="36">
        <v>2024</v>
      </c>
      <c r="F177" s="37" t="s">
        <v>346</v>
      </c>
      <c r="G177" s="38" t="s">
        <v>347</v>
      </c>
      <c r="H177" s="47">
        <v>8.5000000000000006E-2</v>
      </c>
      <c r="I177" s="45">
        <v>9.0999999999999998E-2</v>
      </c>
      <c r="J177" s="45">
        <v>9.2999999999999999E-2</v>
      </c>
      <c r="K177" s="45">
        <v>4.7E-2</v>
      </c>
      <c r="L177" s="45">
        <v>5.1999999999999998E-2</v>
      </c>
      <c r="M177" s="45">
        <v>6.6000000000000003E-2</v>
      </c>
      <c r="N177" s="45">
        <v>7.5999999999999998E-2</v>
      </c>
      <c r="O177" s="45">
        <v>0.11</v>
      </c>
      <c r="P177" s="45">
        <v>6.7000000000000004E-2</v>
      </c>
      <c r="Q177" s="45">
        <v>5.1999999999999998E-2</v>
      </c>
      <c r="R177" s="45">
        <v>5.1999999999999998E-2</v>
      </c>
      <c r="S177" s="45">
        <v>6.2E-2</v>
      </c>
      <c r="T177" s="45">
        <v>6.6000000000000003E-2</v>
      </c>
      <c r="U177" s="45">
        <v>4.4999999999999998E-2</v>
      </c>
      <c r="V177" s="45">
        <v>4.3999999999999997E-2</v>
      </c>
      <c r="W177" s="45">
        <v>3.7999999999999999E-2</v>
      </c>
      <c r="X177" s="46">
        <v>3.3000000000000002E-2</v>
      </c>
    </row>
    <row r="178" spans="1:24" ht="20.45">
      <c r="A178" s="33" t="s">
        <v>57</v>
      </c>
      <c r="B178" s="34" t="s">
        <v>344</v>
      </c>
      <c r="C178" s="34">
        <v>2023</v>
      </c>
      <c r="D178" s="35" t="s">
        <v>349</v>
      </c>
      <c r="E178" s="36">
        <v>2023</v>
      </c>
      <c r="F178" s="37" t="s">
        <v>346</v>
      </c>
      <c r="G178" s="38" t="s">
        <v>350</v>
      </c>
      <c r="H178" s="49">
        <v>8.1000000000000003E-2</v>
      </c>
      <c r="I178" s="50">
        <v>9.7000000000000003E-2</v>
      </c>
      <c r="J178" s="50">
        <v>9.4E-2</v>
      </c>
      <c r="K178" s="50">
        <v>8.1000000000000003E-2</v>
      </c>
      <c r="L178" s="50">
        <v>7.4999999999999997E-2</v>
      </c>
      <c r="M178" s="50">
        <v>4.2000000000000003E-2</v>
      </c>
      <c r="N178" s="50">
        <v>7.8E-2</v>
      </c>
      <c r="O178" s="50">
        <v>0.10299999999999999</v>
      </c>
      <c r="P178" s="50">
        <v>5.5E-2</v>
      </c>
      <c r="Q178" s="50">
        <v>4.3999999999999997E-2</v>
      </c>
      <c r="R178" s="50">
        <v>5.2999999999999999E-2</v>
      </c>
      <c r="S178" s="50">
        <v>7.3999999999999996E-2</v>
      </c>
      <c r="T178" s="50">
        <v>0.05</v>
      </c>
      <c r="U178" s="50">
        <v>6.4000000000000001E-2</v>
      </c>
      <c r="V178" s="50">
        <v>4.8000000000000001E-2</v>
      </c>
      <c r="W178" s="50">
        <v>3.3000000000000002E-2</v>
      </c>
      <c r="X178" s="51">
        <v>2.8000000000000001E-2</v>
      </c>
    </row>
    <row r="179" spans="1:24" ht="20.45">
      <c r="A179" s="33" t="s">
        <v>57</v>
      </c>
      <c r="B179" s="34" t="s">
        <v>344</v>
      </c>
      <c r="C179" s="34">
        <v>2025</v>
      </c>
      <c r="D179" s="35" t="s">
        <v>351</v>
      </c>
      <c r="E179" s="36">
        <v>2025</v>
      </c>
      <c r="F179" s="37" t="s">
        <v>352</v>
      </c>
      <c r="G179" s="38" t="s">
        <v>347</v>
      </c>
      <c r="H179" s="47">
        <v>5.1999999999999998E-2</v>
      </c>
      <c r="I179" s="45">
        <v>4.3999999999999997E-2</v>
      </c>
      <c r="J179" s="45">
        <v>6.0999999999999999E-2</v>
      </c>
      <c r="K179" s="45">
        <v>3.1E-2</v>
      </c>
      <c r="L179" s="45">
        <v>0.04</v>
      </c>
      <c r="M179" s="45">
        <v>3.5000000000000003E-2</v>
      </c>
      <c r="N179" s="45">
        <v>5.2999999999999999E-2</v>
      </c>
      <c r="O179" s="45">
        <v>6.5000000000000002E-2</v>
      </c>
      <c r="P179" s="45">
        <v>0.04</v>
      </c>
      <c r="Q179" s="45">
        <v>3.5000000000000003E-2</v>
      </c>
      <c r="R179" s="45">
        <v>3.1E-2</v>
      </c>
      <c r="S179" s="45">
        <v>3.5999999999999997E-2</v>
      </c>
      <c r="T179" s="45">
        <v>3.2000000000000001E-2</v>
      </c>
      <c r="U179" s="45">
        <v>4.2999999999999997E-2</v>
      </c>
      <c r="V179" s="45">
        <v>3.7999999999999999E-2</v>
      </c>
      <c r="W179" s="45">
        <v>2.9000000000000001E-2</v>
      </c>
      <c r="X179" s="46">
        <v>8.9999999999999993E-3</v>
      </c>
    </row>
    <row r="180" spans="1:24" ht="20.45">
      <c r="A180" s="33" t="s">
        <v>57</v>
      </c>
      <c r="B180" s="34" t="s">
        <v>344</v>
      </c>
      <c r="C180" s="34">
        <v>2024</v>
      </c>
      <c r="D180" s="35" t="s">
        <v>353</v>
      </c>
      <c r="E180" s="36">
        <v>2024</v>
      </c>
      <c r="F180" s="37" t="s">
        <v>352</v>
      </c>
      <c r="G180" s="38" t="s">
        <v>347</v>
      </c>
      <c r="H180" s="47">
        <v>5.8000000000000003E-2</v>
      </c>
      <c r="I180" s="45">
        <v>5.2999999999999999E-2</v>
      </c>
      <c r="J180" s="45">
        <v>6.5000000000000002E-2</v>
      </c>
      <c r="K180" s="45">
        <v>3.5999999999999997E-2</v>
      </c>
      <c r="L180" s="45">
        <v>4.2999999999999997E-2</v>
      </c>
      <c r="M180" s="45">
        <v>4.4999999999999998E-2</v>
      </c>
      <c r="N180" s="45">
        <v>5.8999999999999997E-2</v>
      </c>
      <c r="O180" s="45">
        <v>7.1999999999999995E-2</v>
      </c>
      <c r="P180" s="45">
        <v>4.8000000000000001E-2</v>
      </c>
      <c r="Q180" s="45">
        <v>3.4000000000000002E-2</v>
      </c>
      <c r="R180" s="45">
        <v>2.9000000000000001E-2</v>
      </c>
      <c r="S180" s="45">
        <v>3.7999999999999999E-2</v>
      </c>
      <c r="T180" s="45">
        <v>4.8000000000000001E-2</v>
      </c>
      <c r="U180" s="45">
        <v>3.5000000000000003E-2</v>
      </c>
      <c r="V180" s="45">
        <v>0.03</v>
      </c>
      <c r="W180" s="45">
        <v>2.1000000000000001E-2</v>
      </c>
      <c r="X180" s="46">
        <v>2.5999999999999999E-2</v>
      </c>
    </row>
    <row r="181" spans="1:24" ht="20.45">
      <c r="A181" s="33" t="s">
        <v>57</v>
      </c>
      <c r="B181" s="34" t="s">
        <v>344</v>
      </c>
      <c r="C181" s="34">
        <v>2023</v>
      </c>
      <c r="D181" s="35" t="s">
        <v>354</v>
      </c>
      <c r="E181" s="36">
        <v>2023</v>
      </c>
      <c r="F181" s="37" t="s">
        <v>352</v>
      </c>
      <c r="G181" s="38" t="s">
        <v>350</v>
      </c>
      <c r="H181" s="49">
        <v>5.6000000000000001E-2</v>
      </c>
      <c r="I181" s="50">
        <v>7.2999999999999995E-2</v>
      </c>
      <c r="J181" s="50">
        <v>6.0999999999999999E-2</v>
      </c>
      <c r="K181" s="50">
        <v>0.05</v>
      </c>
      <c r="L181" s="50">
        <v>5.7000000000000002E-2</v>
      </c>
      <c r="M181" s="50">
        <v>2.9000000000000001E-2</v>
      </c>
      <c r="N181" s="50">
        <v>4.8000000000000001E-2</v>
      </c>
      <c r="O181" s="50">
        <v>7.0999999999999994E-2</v>
      </c>
      <c r="P181" s="50">
        <v>3.5999999999999997E-2</v>
      </c>
      <c r="Q181" s="50">
        <v>3.3000000000000002E-2</v>
      </c>
      <c r="R181" s="50">
        <v>3.4000000000000002E-2</v>
      </c>
      <c r="S181" s="50">
        <v>4.9000000000000002E-2</v>
      </c>
      <c r="T181" s="50">
        <v>3.6999999999999998E-2</v>
      </c>
      <c r="U181" s="50">
        <v>4.8000000000000001E-2</v>
      </c>
      <c r="V181" s="50">
        <v>2.8000000000000001E-2</v>
      </c>
      <c r="W181" s="50">
        <v>2.8000000000000001E-2</v>
      </c>
      <c r="X181" s="51">
        <v>2.1000000000000001E-2</v>
      </c>
    </row>
    <row r="182" spans="1:24" ht="40.9">
      <c r="A182" s="33" t="s">
        <v>57</v>
      </c>
      <c r="B182" s="34" t="s">
        <v>355</v>
      </c>
      <c r="C182" s="34">
        <v>2025</v>
      </c>
      <c r="D182" s="35" t="s">
        <v>356</v>
      </c>
      <c r="E182" s="36">
        <v>2025</v>
      </c>
      <c r="F182" s="37" t="s">
        <v>352</v>
      </c>
      <c r="G182" s="38" t="s">
        <v>347</v>
      </c>
      <c r="H182" s="47">
        <v>0.82899999999999996</v>
      </c>
      <c r="I182" s="45">
        <v>0.85799999999999998</v>
      </c>
      <c r="J182" s="45">
        <v>0.82299999999999995</v>
      </c>
      <c r="K182" s="45">
        <v>0.86199999999999999</v>
      </c>
      <c r="L182" s="45">
        <v>0.86899999999999999</v>
      </c>
      <c r="M182" s="45">
        <v>0.85899999999999999</v>
      </c>
      <c r="N182" s="45">
        <v>0.81699999999999995</v>
      </c>
      <c r="O182" s="45">
        <v>0.81100000000000005</v>
      </c>
      <c r="P182" s="45">
        <v>0.85599999999999998</v>
      </c>
      <c r="Q182" s="45">
        <v>0.86399999999999999</v>
      </c>
      <c r="R182" s="45">
        <v>0.871</v>
      </c>
      <c r="S182" s="45">
        <v>0.85299999999999998</v>
      </c>
      <c r="T182" s="45">
        <v>0.83899999999999997</v>
      </c>
      <c r="U182" s="45">
        <v>0.81299999999999994</v>
      </c>
      <c r="V182" s="45">
        <v>0.84899999999999998</v>
      </c>
      <c r="W182" s="45">
        <v>0.83499999999999996</v>
      </c>
      <c r="X182" s="46">
        <v>0.85199999999999998</v>
      </c>
    </row>
    <row r="183" spans="1:24" ht="40.9">
      <c r="A183" s="33" t="s">
        <v>57</v>
      </c>
      <c r="B183" s="34" t="s">
        <v>355</v>
      </c>
      <c r="C183" s="34">
        <v>2024</v>
      </c>
      <c r="D183" s="35" t="s">
        <v>357</v>
      </c>
      <c r="E183" s="36">
        <v>2024</v>
      </c>
      <c r="F183" s="37" t="s">
        <v>352</v>
      </c>
      <c r="G183" s="38" t="s">
        <v>347</v>
      </c>
      <c r="H183" s="47">
        <v>0.877</v>
      </c>
      <c r="I183" s="45">
        <v>0.88600000000000001</v>
      </c>
      <c r="J183" s="45">
        <v>0.88600000000000001</v>
      </c>
      <c r="K183" s="45">
        <v>0.91400000000000003</v>
      </c>
      <c r="L183" s="45">
        <v>0.92400000000000004</v>
      </c>
      <c r="M183" s="45">
        <v>0.88400000000000001</v>
      </c>
      <c r="N183" s="45">
        <v>0.88900000000000001</v>
      </c>
      <c r="O183" s="45">
        <v>0.86899999999999999</v>
      </c>
      <c r="P183" s="45">
        <v>0.876</v>
      </c>
      <c r="Q183" s="45">
        <v>0.89300000000000002</v>
      </c>
      <c r="R183" s="45">
        <v>0.92800000000000005</v>
      </c>
      <c r="S183" s="45">
        <v>0.89600000000000002</v>
      </c>
      <c r="T183" s="45">
        <v>0.84499999999999997</v>
      </c>
      <c r="U183" s="45">
        <v>0.82799999999999996</v>
      </c>
      <c r="V183" s="45">
        <v>0.85799999999999998</v>
      </c>
      <c r="W183" s="45">
        <v>0.876</v>
      </c>
      <c r="X183" s="46">
        <v>0.85399999999999998</v>
      </c>
    </row>
    <row r="184" spans="1:24" ht="40.9">
      <c r="A184" s="33" t="s">
        <v>57</v>
      </c>
      <c r="B184" s="34" t="s">
        <v>355</v>
      </c>
      <c r="C184" s="34">
        <v>2023</v>
      </c>
      <c r="D184" s="35" t="s">
        <v>358</v>
      </c>
      <c r="E184" s="36">
        <v>2023</v>
      </c>
      <c r="F184" s="37" t="s">
        <v>352</v>
      </c>
      <c r="G184" s="38" t="s">
        <v>350</v>
      </c>
      <c r="H184" s="47">
        <v>0.877</v>
      </c>
      <c r="I184" s="50">
        <v>0.89800000000000002</v>
      </c>
      <c r="J184" s="50">
        <v>0.86099999999999999</v>
      </c>
      <c r="K184" s="50">
        <v>0.93300000000000005</v>
      </c>
      <c r="L184" s="50">
        <v>0.91300000000000003</v>
      </c>
      <c r="M184" s="50">
        <v>0.875</v>
      </c>
      <c r="N184" s="50">
        <v>0.879</v>
      </c>
      <c r="O184" s="50">
        <v>0.86</v>
      </c>
      <c r="P184" s="50">
        <v>0.89500000000000002</v>
      </c>
      <c r="Q184" s="50">
        <v>0.89400000000000002</v>
      </c>
      <c r="R184" s="50">
        <v>0.91900000000000004</v>
      </c>
      <c r="S184" s="50">
        <v>0.89700000000000002</v>
      </c>
      <c r="T184" s="50">
        <v>0.89900000000000002</v>
      </c>
      <c r="U184" s="50">
        <v>0.85399999999999998</v>
      </c>
      <c r="V184" s="50">
        <v>0.88300000000000001</v>
      </c>
      <c r="W184" s="50">
        <v>0.86299999999999999</v>
      </c>
      <c r="X184" s="51">
        <v>0.85699999999999998</v>
      </c>
    </row>
    <row r="185" spans="1:24" ht="40.9">
      <c r="A185" s="33" t="s">
        <v>57</v>
      </c>
      <c r="B185" s="34" t="s">
        <v>355</v>
      </c>
      <c r="C185" s="34">
        <v>2025</v>
      </c>
      <c r="D185" s="35" t="s">
        <v>359</v>
      </c>
      <c r="E185" s="36">
        <v>2025</v>
      </c>
      <c r="F185" s="37" t="s">
        <v>352</v>
      </c>
      <c r="G185" s="38" t="s">
        <v>347</v>
      </c>
      <c r="H185" s="47">
        <v>0.47199999999999998</v>
      </c>
      <c r="I185" s="45">
        <v>0.50600000000000001</v>
      </c>
      <c r="J185" s="45">
        <v>0.42</v>
      </c>
      <c r="K185" s="45">
        <v>0.53200000000000003</v>
      </c>
      <c r="L185" s="45">
        <v>0.44500000000000001</v>
      </c>
      <c r="M185" s="45">
        <v>0.45</v>
      </c>
      <c r="N185" s="45">
        <v>0.42399999999999999</v>
      </c>
      <c r="O185" s="45">
        <v>0.51</v>
      </c>
      <c r="P185" s="45">
        <v>0.46899999999999997</v>
      </c>
      <c r="Q185" s="45">
        <v>0.41699999999999998</v>
      </c>
      <c r="R185" s="45">
        <v>0.45</v>
      </c>
      <c r="S185" s="45">
        <v>0.47699999999999998</v>
      </c>
      <c r="T185" s="45">
        <v>0.36099999999999999</v>
      </c>
      <c r="U185" s="45">
        <v>0.376</v>
      </c>
      <c r="V185" s="45">
        <v>0.38800000000000001</v>
      </c>
      <c r="W185" s="45">
        <v>0.252</v>
      </c>
      <c r="X185" s="46">
        <v>0.214</v>
      </c>
    </row>
    <row r="186" spans="1:24" ht="40.9">
      <c r="A186" s="33" t="s">
        <v>57</v>
      </c>
      <c r="B186" s="34" t="s">
        <v>355</v>
      </c>
      <c r="C186" s="34">
        <v>2024</v>
      </c>
      <c r="D186" s="35" t="s">
        <v>360</v>
      </c>
      <c r="E186" s="36">
        <v>2024</v>
      </c>
      <c r="F186" s="37" t="s">
        <v>352</v>
      </c>
      <c r="G186" s="38" t="s">
        <v>347</v>
      </c>
      <c r="H186" s="47">
        <v>0.50800000000000001</v>
      </c>
      <c r="I186" s="45">
        <v>0.56100000000000005</v>
      </c>
      <c r="J186" s="45">
        <v>0.44700000000000001</v>
      </c>
      <c r="K186" s="45">
        <v>0.55400000000000005</v>
      </c>
      <c r="L186" s="45">
        <v>0.53200000000000003</v>
      </c>
      <c r="M186" s="45">
        <v>0.501</v>
      </c>
      <c r="N186" s="45">
        <v>0.503</v>
      </c>
      <c r="O186" s="45">
        <v>0.54300000000000004</v>
      </c>
      <c r="P186" s="45">
        <v>0.45200000000000001</v>
      </c>
      <c r="Q186" s="45">
        <v>0.47</v>
      </c>
      <c r="R186" s="45">
        <v>0.47199999999999998</v>
      </c>
      <c r="S186" s="45">
        <v>0.52400000000000002</v>
      </c>
      <c r="T186" s="45">
        <v>0.36399999999999999</v>
      </c>
      <c r="U186" s="45">
        <v>0.433</v>
      </c>
      <c r="V186" s="45">
        <v>0.39800000000000002</v>
      </c>
      <c r="W186" s="45">
        <v>0.26100000000000001</v>
      </c>
      <c r="X186" s="46">
        <v>0.224</v>
      </c>
    </row>
    <row r="187" spans="1:24" ht="40.9">
      <c r="A187" s="33" t="s">
        <v>57</v>
      </c>
      <c r="B187" s="34" t="s">
        <v>355</v>
      </c>
      <c r="C187" s="34">
        <v>2023</v>
      </c>
      <c r="D187" s="35" t="s">
        <v>361</v>
      </c>
      <c r="E187" s="36">
        <v>2023</v>
      </c>
      <c r="F187" s="37" t="s">
        <v>352</v>
      </c>
      <c r="G187" s="38" t="s">
        <v>350</v>
      </c>
      <c r="H187" s="39">
        <v>54.3</v>
      </c>
      <c r="I187" s="50">
        <v>0.61799999999999999</v>
      </c>
      <c r="J187" s="50">
        <v>0.501</v>
      </c>
      <c r="K187" s="50">
        <v>0.66700000000000004</v>
      </c>
      <c r="L187" s="50">
        <v>0.52500000000000002</v>
      </c>
      <c r="M187" s="50">
        <v>0.51800000000000002</v>
      </c>
      <c r="N187" s="50">
        <v>0.504</v>
      </c>
      <c r="O187" s="50">
        <v>0.57899999999999996</v>
      </c>
      <c r="P187" s="50">
        <v>0.51500000000000001</v>
      </c>
      <c r="Q187" s="50">
        <v>0.499</v>
      </c>
      <c r="R187" s="50">
        <v>0.54200000000000004</v>
      </c>
      <c r="S187" s="50">
        <v>0.53200000000000003</v>
      </c>
      <c r="T187" s="50">
        <v>0.50900000000000001</v>
      </c>
      <c r="U187" s="50">
        <v>0.45300000000000001</v>
      </c>
      <c r="V187" s="50">
        <v>0.42899999999999999</v>
      </c>
      <c r="W187" s="50">
        <v>0.29799999999999999</v>
      </c>
      <c r="X187" s="51">
        <v>0.17499999999999999</v>
      </c>
    </row>
    <row r="188" spans="1:24" ht="20.45">
      <c r="A188" s="33" t="s">
        <v>59</v>
      </c>
      <c r="B188" s="34" t="s">
        <v>362</v>
      </c>
      <c r="C188" s="34">
        <v>2023</v>
      </c>
      <c r="D188" s="35" t="s">
        <v>363</v>
      </c>
      <c r="E188" s="36">
        <v>2023</v>
      </c>
      <c r="F188" s="37" t="s">
        <v>364</v>
      </c>
      <c r="G188" s="38" t="s">
        <v>365</v>
      </c>
      <c r="H188" s="39">
        <v>0.878</v>
      </c>
      <c r="I188" s="40">
        <v>0.90400000000000003</v>
      </c>
      <c r="J188" s="40">
        <v>0.90400000000000003</v>
      </c>
      <c r="K188" s="40">
        <v>0.9</v>
      </c>
      <c r="L188" s="40">
        <v>0.88100000000000001</v>
      </c>
      <c r="M188" s="40">
        <v>0.85599999999999998</v>
      </c>
      <c r="N188" s="40">
        <v>0.89400000000000002</v>
      </c>
      <c r="O188" s="40">
        <v>0.90800000000000003</v>
      </c>
      <c r="P188" s="40">
        <v>0.84599999999999997</v>
      </c>
      <c r="Q188" s="40">
        <v>0.81699999999999995</v>
      </c>
      <c r="R188" s="40">
        <v>0.85199999999999998</v>
      </c>
      <c r="S188" s="40">
        <v>0.85199999999999998</v>
      </c>
      <c r="T188" s="40">
        <v>0.81299999999999994</v>
      </c>
      <c r="U188" s="40">
        <v>0.82099999999999995</v>
      </c>
      <c r="V188" s="40">
        <v>0.82099999999999995</v>
      </c>
      <c r="W188" s="40">
        <v>0.83399999999999996</v>
      </c>
      <c r="X188" s="41">
        <v>0.89200000000000002</v>
      </c>
    </row>
    <row r="189" spans="1:24" ht="20.45">
      <c r="A189" s="33" t="s">
        <v>59</v>
      </c>
      <c r="B189" s="34" t="s">
        <v>362</v>
      </c>
      <c r="C189" s="34">
        <v>2022</v>
      </c>
      <c r="D189" s="35" t="s">
        <v>366</v>
      </c>
      <c r="E189" s="36">
        <v>2022</v>
      </c>
      <c r="F189" s="37" t="s">
        <v>364</v>
      </c>
      <c r="G189" s="38" t="s">
        <v>365</v>
      </c>
      <c r="H189" s="39">
        <v>0.86899999999999999</v>
      </c>
      <c r="I189" s="40">
        <v>0.89500000000000002</v>
      </c>
      <c r="J189" s="40">
        <v>0.89500000000000002</v>
      </c>
      <c r="K189" s="40">
        <v>0.89</v>
      </c>
      <c r="L189" s="40">
        <v>0.872</v>
      </c>
      <c r="M189" s="40">
        <v>0.84699999999999998</v>
      </c>
      <c r="N189" s="40">
        <v>0.88500000000000001</v>
      </c>
      <c r="O189" s="40">
        <v>0.89800000000000002</v>
      </c>
      <c r="P189" s="40">
        <v>0.83699999999999997</v>
      </c>
      <c r="Q189" s="40">
        <v>0.80800000000000005</v>
      </c>
      <c r="R189" s="40">
        <v>0.84299999999999997</v>
      </c>
      <c r="S189" s="40">
        <v>0.84299999999999997</v>
      </c>
      <c r="T189" s="40">
        <v>0.80400000000000005</v>
      </c>
      <c r="U189" s="40">
        <v>0.81200000000000006</v>
      </c>
      <c r="V189" s="40">
        <v>0.81200000000000006</v>
      </c>
      <c r="W189" s="40">
        <v>0.82499999999999996</v>
      </c>
      <c r="X189" s="41">
        <v>0.88200000000000001</v>
      </c>
    </row>
    <row r="190" spans="1:24" ht="20.45">
      <c r="A190" s="33" t="s">
        <v>59</v>
      </c>
      <c r="B190" s="34" t="s">
        <v>362</v>
      </c>
      <c r="C190" s="34">
        <v>2021</v>
      </c>
      <c r="D190" s="35" t="s">
        <v>367</v>
      </c>
      <c r="E190" s="36">
        <v>2021</v>
      </c>
      <c r="F190" s="37" t="s">
        <v>364</v>
      </c>
      <c r="G190" s="38" t="s">
        <v>365</v>
      </c>
      <c r="H190" s="39">
        <v>0.86499999999999999</v>
      </c>
      <c r="I190" s="40">
        <v>0.89200000000000002</v>
      </c>
      <c r="J190" s="40">
        <v>0.89200000000000002</v>
      </c>
      <c r="K190" s="40">
        <v>0.88700000000000001</v>
      </c>
      <c r="L190" s="40">
        <v>0.86799999999999999</v>
      </c>
      <c r="M190" s="40">
        <v>0.84299999999999997</v>
      </c>
      <c r="N190" s="40">
        <v>0.88</v>
      </c>
      <c r="O190" s="40">
        <v>0.89500000000000002</v>
      </c>
      <c r="P190" s="40">
        <v>0.83299999999999996</v>
      </c>
      <c r="Q190" s="40">
        <v>0.80400000000000005</v>
      </c>
      <c r="R190" s="40">
        <v>0.83899999999999997</v>
      </c>
      <c r="S190" s="40">
        <v>0.83899999999999997</v>
      </c>
      <c r="T190" s="40">
        <v>0.8</v>
      </c>
      <c r="U190" s="40">
        <v>0.80800000000000005</v>
      </c>
      <c r="V190" s="40">
        <v>0.80800000000000005</v>
      </c>
      <c r="W190" s="40">
        <v>0.82099999999999995</v>
      </c>
      <c r="X190" s="41">
        <v>0.878</v>
      </c>
    </row>
    <row r="191" spans="1:24" ht="20.45">
      <c r="A191" s="33" t="s">
        <v>59</v>
      </c>
      <c r="B191" s="34" t="s">
        <v>368</v>
      </c>
      <c r="C191" s="34" t="s">
        <v>902</v>
      </c>
      <c r="D191" s="35" t="s">
        <v>369</v>
      </c>
      <c r="E191" s="36">
        <v>2017</v>
      </c>
      <c r="F191" s="37" t="s">
        <v>364</v>
      </c>
      <c r="G191" s="38" t="s">
        <v>370</v>
      </c>
      <c r="H191" s="39">
        <v>0.47</v>
      </c>
      <c r="I191" s="40">
        <v>0.42499999999999999</v>
      </c>
      <c r="J191" s="40">
        <v>0.42899999999999999</v>
      </c>
      <c r="K191" s="40">
        <v>0.439</v>
      </c>
      <c r="L191" s="40">
        <v>0.45400000000000001</v>
      </c>
      <c r="M191" s="40">
        <v>0.46200000000000002</v>
      </c>
      <c r="N191" s="40">
        <v>0.45900000000000002</v>
      </c>
      <c r="O191" s="40">
        <v>0.50700000000000001</v>
      </c>
      <c r="P191" s="40">
        <v>0.41199999999999998</v>
      </c>
      <c r="Q191" s="40">
        <v>0.46100000000000002</v>
      </c>
      <c r="R191" s="40"/>
      <c r="S191" s="40">
        <v>0.48</v>
      </c>
      <c r="T191" s="40">
        <v>0.503</v>
      </c>
      <c r="U191" s="40">
        <v>0.48699999999999999</v>
      </c>
      <c r="V191" s="40">
        <v>0.48599999999999999</v>
      </c>
      <c r="W191" s="40">
        <v>0.48599999999999999</v>
      </c>
      <c r="X191" s="41">
        <v>0.46400000000000002</v>
      </c>
    </row>
    <row r="192" spans="1:24" ht="20.45">
      <c r="A192" s="33" t="s">
        <v>59</v>
      </c>
      <c r="B192" s="34" t="s">
        <v>371</v>
      </c>
      <c r="C192" s="34" t="s">
        <v>903</v>
      </c>
      <c r="D192" s="35" t="s">
        <v>372</v>
      </c>
      <c r="E192" s="36">
        <v>2024</v>
      </c>
      <c r="F192" s="37" t="s">
        <v>373</v>
      </c>
      <c r="G192" s="38" t="s">
        <v>141</v>
      </c>
      <c r="H192" s="42">
        <v>491904</v>
      </c>
      <c r="I192" s="43">
        <v>12055</v>
      </c>
      <c r="J192" s="43">
        <v>18126</v>
      </c>
      <c r="K192" s="43">
        <v>27028</v>
      </c>
      <c r="L192" s="43">
        <v>8613</v>
      </c>
      <c r="M192" s="43">
        <v>19423</v>
      </c>
      <c r="N192" s="43">
        <v>42497</v>
      </c>
      <c r="O192" s="43">
        <v>238934</v>
      </c>
      <c r="P192" s="43">
        <v>20332</v>
      </c>
      <c r="Q192" s="43">
        <v>20814</v>
      </c>
      <c r="R192" s="43">
        <v>8879</v>
      </c>
      <c r="S192" s="43">
        <v>30468</v>
      </c>
      <c r="T192" s="43">
        <v>16572</v>
      </c>
      <c r="U192" s="43">
        <v>7099</v>
      </c>
      <c r="V192" s="43">
        <v>16302</v>
      </c>
      <c r="W192" s="43">
        <v>1927</v>
      </c>
      <c r="X192" s="44">
        <v>2835</v>
      </c>
    </row>
    <row r="193" spans="1:24" ht="20.45">
      <c r="A193" s="33" t="s">
        <v>59</v>
      </c>
      <c r="B193" s="34" t="s">
        <v>371</v>
      </c>
      <c r="C193" s="34" t="s">
        <v>904</v>
      </c>
      <c r="D193" s="35" t="s">
        <v>374</v>
      </c>
      <c r="E193" s="36">
        <v>2022</v>
      </c>
      <c r="F193" s="37" t="s">
        <v>373</v>
      </c>
      <c r="G193" s="38" t="s">
        <v>375</v>
      </c>
      <c r="H193" s="42">
        <v>552046</v>
      </c>
      <c r="I193" s="43">
        <v>11670</v>
      </c>
      <c r="J193" s="43">
        <v>18452</v>
      </c>
      <c r="K193" s="43">
        <v>27708</v>
      </c>
      <c r="L193" s="43">
        <v>10434</v>
      </c>
      <c r="M193" s="43">
        <v>14032</v>
      </c>
      <c r="N193" s="43">
        <v>38079</v>
      </c>
      <c r="O193" s="43">
        <v>331663</v>
      </c>
      <c r="P193" s="43">
        <v>21980</v>
      </c>
      <c r="Q193" s="43">
        <v>19319</v>
      </c>
      <c r="R193" s="43">
        <v>5688</v>
      </c>
      <c r="S193" s="43">
        <v>23270</v>
      </c>
      <c r="T193" s="43">
        <v>13013</v>
      </c>
      <c r="U193" s="43">
        <v>4534</v>
      </c>
      <c r="V193" s="43">
        <v>8912</v>
      </c>
      <c r="W193" s="43">
        <v>1450</v>
      </c>
      <c r="X193" s="44">
        <v>1842</v>
      </c>
    </row>
    <row r="194" spans="1:24" ht="20.45">
      <c r="A194" s="33" t="s">
        <v>59</v>
      </c>
      <c r="B194" s="34" t="s">
        <v>376</v>
      </c>
      <c r="C194" s="34">
        <v>2024</v>
      </c>
      <c r="D194" s="35" t="s">
        <v>377</v>
      </c>
      <c r="E194" s="36">
        <v>2024</v>
      </c>
      <c r="F194" s="37" t="s">
        <v>378</v>
      </c>
      <c r="G194" s="38" t="s">
        <v>379</v>
      </c>
      <c r="H194" s="42">
        <v>1432</v>
      </c>
      <c r="I194" s="43">
        <v>14</v>
      </c>
      <c r="J194" s="43">
        <v>64</v>
      </c>
      <c r="K194" s="43">
        <v>116</v>
      </c>
      <c r="L194" s="43">
        <v>121</v>
      </c>
      <c r="M194" s="43">
        <v>52</v>
      </c>
      <c r="N194" s="43">
        <v>374</v>
      </c>
      <c r="O194" s="43">
        <v>168</v>
      </c>
      <c r="P194" s="43">
        <v>59</v>
      </c>
      <c r="Q194" s="43">
        <v>25</v>
      </c>
      <c r="R194" s="43">
        <v>24</v>
      </c>
      <c r="S194" s="43">
        <v>225</v>
      </c>
      <c r="T194" s="43">
        <v>70</v>
      </c>
      <c r="U194" s="43">
        <v>40</v>
      </c>
      <c r="V194" s="43">
        <v>67</v>
      </c>
      <c r="W194" s="43">
        <v>10</v>
      </c>
      <c r="X194" s="44">
        <v>3</v>
      </c>
    </row>
    <row r="195" spans="1:24" ht="20.45">
      <c r="A195" s="33" t="s">
        <v>59</v>
      </c>
      <c r="B195" s="34" t="s">
        <v>376</v>
      </c>
      <c r="C195" s="34" t="s">
        <v>832</v>
      </c>
      <c r="D195" s="35" t="s">
        <v>380</v>
      </c>
      <c r="E195" s="36">
        <v>2024</v>
      </c>
      <c r="F195" s="37" t="s">
        <v>113</v>
      </c>
      <c r="G195" s="38" t="s">
        <v>379</v>
      </c>
      <c r="H195" s="49"/>
      <c r="I195" s="50">
        <v>9.7765363128491604E-3</v>
      </c>
      <c r="J195" s="50">
        <v>4.4692737430167599E-2</v>
      </c>
      <c r="K195" s="50">
        <v>8.1005586592178797E-2</v>
      </c>
      <c r="L195" s="50">
        <v>8.4497206703910602E-2</v>
      </c>
      <c r="M195" s="50">
        <v>3.6312849162011197E-2</v>
      </c>
      <c r="N195" s="50">
        <v>0.261173184357542</v>
      </c>
      <c r="O195" s="50">
        <v>0.11731843575419</v>
      </c>
      <c r="P195" s="50">
        <v>4.1201117318435801E-2</v>
      </c>
      <c r="Q195" s="50">
        <v>1.7458100558659199E-2</v>
      </c>
      <c r="R195" s="50">
        <v>1.67597765363128E-2</v>
      </c>
      <c r="S195" s="50">
        <v>0.157122905027933</v>
      </c>
      <c r="T195" s="50">
        <v>4.88826815642458E-2</v>
      </c>
      <c r="U195" s="50">
        <v>2.7932960893854698E-2</v>
      </c>
      <c r="V195" s="50">
        <v>4.6787709497206703E-2</v>
      </c>
      <c r="W195" s="50">
        <v>6.9832402234636902E-3</v>
      </c>
      <c r="X195" s="51">
        <v>2.09497206703911E-3</v>
      </c>
    </row>
    <row r="196" spans="1:24" ht="20.45">
      <c r="A196" s="33" t="s">
        <v>59</v>
      </c>
      <c r="B196" s="34" t="s">
        <v>376</v>
      </c>
      <c r="C196" s="34">
        <v>2022</v>
      </c>
      <c r="D196" s="35" t="s">
        <v>381</v>
      </c>
      <c r="E196" s="36">
        <v>2022</v>
      </c>
      <c r="F196" s="37" t="s">
        <v>378</v>
      </c>
      <c r="G196" s="38" t="s">
        <v>379</v>
      </c>
      <c r="H196" s="42">
        <v>1091</v>
      </c>
      <c r="I196" s="43">
        <v>12</v>
      </c>
      <c r="J196" s="43">
        <v>55</v>
      </c>
      <c r="K196" s="43">
        <v>85</v>
      </c>
      <c r="L196" s="43">
        <v>106</v>
      </c>
      <c r="M196" s="43">
        <v>43</v>
      </c>
      <c r="N196" s="43">
        <v>256</v>
      </c>
      <c r="O196" s="43">
        <v>142</v>
      </c>
      <c r="P196" s="43">
        <v>47</v>
      </c>
      <c r="Q196" s="43">
        <v>18</v>
      </c>
      <c r="R196" s="43">
        <v>21</v>
      </c>
      <c r="S196" s="43">
        <v>156</v>
      </c>
      <c r="T196" s="43">
        <v>58</v>
      </c>
      <c r="U196" s="43">
        <v>28</v>
      </c>
      <c r="V196" s="43">
        <v>56</v>
      </c>
      <c r="W196" s="43">
        <v>6</v>
      </c>
      <c r="X196" s="44">
        <v>2</v>
      </c>
    </row>
    <row r="197" spans="1:24" ht="20.45">
      <c r="A197" s="33" t="s">
        <v>59</v>
      </c>
      <c r="B197" s="34" t="s">
        <v>376</v>
      </c>
      <c r="C197" s="34" t="s">
        <v>382</v>
      </c>
      <c r="D197" s="35" t="s">
        <v>45</v>
      </c>
      <c r="E197" s="36" t="s">
        <v>382</v>
      </c>
      <c r="F197" s="37" t="s">
        <v>383</v>
      </c>
      <c r="G197" s="38" t="s">
        <v>384</v>
      </c>
      <c r="H197" s="42">
        <v>120584</v>
      </c>
      <c r="I197" s="43">
        <v>2931</v>
      </c>
      <c r="J197" s="43">
        <v>13361</v>
      </c>
      <c r="K197" s="43">
        <v>15855</v>
      </c>
      <c r="L197" s="43">
        <v>10084</v>
      </c>
      <c r="M197" s="43">
        <v>3253</v>
      </c>
      <c r="N197" s="43">
        <v>30458</v>
      </c>
      <c r="O197" s="43">
        <v>22223</v>
      </c>
      <c r="P197" s="43">
        <v>2073</v>
      </c>
      <c r="Q197" s="43">
        <v>565</v>
      </c>
      <c r="R197" s="43">
        <v>229</v>
      </c>
      <c r="S197" s="43">
        <v>11856</v>
      </c>
      <c r="T197" s="43">
        <v>2246</v>
      </c>
      <c r="U197" s="43">
        <v>1388</v>
      </c>
      <c r="V197" s="43">
        <v>3589</v>
      </c>
      <c r="W197" s="43">
        <v>210</v>
      </c>
      <c r="X197" s="44">
        <v>263</v>
      </c>
    </row>
    <row r="198" spans="1:24" ht="40.9">
      <c r="A198" s="33" t="s">
        <v>59</v>
      </c>
      <c r="B198" s="34" t="s">
        <v>376</v>
      </c>
      <c r="C198" s="34" t="s">
        <v>905</v>
      </c>
      <c r="D198" s="35" t="s">
        <v>385</v>
      </c>
      <c r="E198" s="36" t="s">
        <v>382</v>
      </c>
      <c r="F198" s="37" t="s">
        <v>113</v>
      </c>
      <c r="G198" s="38" t="s">
        <v>384</v>
      </c>
      <c r="H198" s="49"/>
      <c r="I198" s="50">
        <v>2.43067073575267E-2</v>
      </c>
      <c r="J198" s="50">
        <v>0.110802428182843</v>
      </c>
      <c r="K198" s="50">
        <v>0.13148510581835099</v>
      </c>
      <c r="L198" s="50">
        <v>8.3626351754793299E-2</v>
      </c>
      <c r="M198" s="50">
        <v>2.69770450474358E-2</v>
      </c>
      <c r="N198" s="50">
        <v>0.25258740794798601</v>
      </c>
      <c r="O198" s="50">
        <v>0.18429476547469001</v>
      </c>
      <c r="P198" s="50">
        <v>1.7191335500563901E-2</v>
      </c>
      <c r="Q198" s="50">
        <v>4.6855304186293398E-3</v>
      </c>
      <c r="R198" s="50">
        <v>1.8990910900285301E-3</v>
      </c>
      <c r="S198" s="50">
        <v>9.8321502023485705E-2</v>
      </c>
      <c r="T198" s="50">
        <v>1.86260200358256E-2</v>
      </c>
      <c r="U198" s="50">
        <v>1.15106481788629E-2</v>
      </c>
      <c r="V198" s="50">
        <v>2.9763484376036601E-2</v>
      </c>
      <c r="W198" s="50">
        <v>1.74152458037551E-3</v>
      </c>
      <c r="X198" s="51">
        <v>2.1810522125655101E-3</v>
      </c>
    </row>
    <row r="199" spans="1:24" ht="20.45">
      <c r="A199" s="33" t="s">
        <v>59</v>
      </c>
      <c r="B199" s="34" t="s">
        <v>376</v>
      </c>
      <c r="C199" s="34" t="s">
        <v>387</v>
      </c>
      <c r="D199" s="35" t="s">
        <v>386</v>
      </c>
      <c r="E199" s="36" t="s">
        <v>387</v>
      </c>
      <c r="F199" s="37" t="s">
        <v>383</v>
      </c>
      <c r="G199" s="38" t="s">
        <v>384</v>
      </c>
      <c r="H199" s="42">
        <v>113887</v>
      </c>
      <c r="I199" s="43">
        <v>4496</v>
      </c>
      <c r="J199" s="43">
        <v>12167</v>
      </c>
      <c r="K199" s="43">
        <v>12824</v>
      </c>
      <c r="L199" s="43">
        <v>10804</v>
      </c>
      <c r="M199" s="43">
        <v>2297</v>
      </c>
      <c r="N199" s="43">
        <v>30976</v>
      </c>
      <c r="O199" s="43">
        <v>20355</v>
      </c>
      <c r="P199" s="43">
        <v>1958</v>
      </c>
      <c r="Q199" s="43">
        <v>307</v>
      </c>
      <c r="R199" s="43">
        <v>445</v>
      </c>
      <c r="S199" s="43">
        <v>9962</v>
      </c>
      <c r="T199" s="43">
        <v>2149</v>
      </c>
      <c r="U199" s="43">
        <v>1049</v>
      </c>
      <c r="V199" s="43">
        <v>3241</v>
      </c>
      <c r="W199" s="43">
        <v>658</v>
      </c>
      <c r="X199" s="44">
        <v>199</v>
      </c>
    </row>
    <row r="200" spans="1:24" ht="59.45">
      <c r="A200" s="33" t="s">
        <v>59</v>
      </c>
      <c r="B200" s="34" t="s">
        <v>376</v>
      </c>
      <c r="C200" s="34" t="s">
        <v>906</v>
      </c>
      <c r="D200" s="35" t="s">
        <v>388</v>
      </c>
      <c r="E200" s="36" t="s">
        <v>382</v>
      </c>
      <c r="F200" s="37" t="s">
        <v>113</v>
      </c>
      <c r="G200" s="38" t="s">
        <v>384</v>
      </c>
      <c r="H200" s="49">
        <v>0.39300000000000002</v>
      </c>
      <c r="I200" s="53">
        <v>0.58899999999999997</v>
      </c>
      <c r="J200" s="53">
        <v>0.63600000000000001</v>
      </c>
      <c r="K200" s="53">
        <v>0.59899999999999998</v>
      </c>
      <c r="L200" s="53">
        <v>0.41499999999999998</v>
      </c>
      <c r="M200" s="53">
        <v>0.28199999999999997</v>
      </c>
      <c r="N200" s="53">
        <v>0.18</v>
      </c>
      <c r="O200" s="53">
        <v>0.61499999999999999</v>
      </c>
      <c r="P200" s="53">
        <v>0.36499999999999999</v>
      </c>
      <c r="Q200" s="53">
        <v>0.55000000000000004</v>
      </c>
      <c r="R200" s="53">
        <v>0.13100000000000001</v>
      </c>
      <c r="S200" s="53">
        <v>9.2999999999999999E-2</v>
      </c>
      <c r="T200" s="53">
        <v>0.221</v>
      </c>
      <c r="U200" s="53">
        <v>7.6999999999999999E-2</v>
      </c>
      <c r="V200" s="53">
        <v>0.13200000000000001</v>
      </c>
      <c r="W200" s="53">
        <v>0.51</v>
      </c>
      <c r="X200" s="54">
        <v>0.14099999999999999</v>
      </c>
    </row>
    <row r="201" spans="1:24" ht="39.6">
      <c r="A201" s="33" t="s">
        <v>59</v>
      </c>
      <c r="B201" s="34" t="s">
        <v>389</v>
      </c>
      <c r="C201" s="34" t="s">
        <v>907</v>
      </c>
      <c r="D201" s="35" t="s">
        <v>390</v>
      </c>
      <c r="E201" s="36">
        <v>2023</v>
      </c>
      <c r="F201" s="37" t="s">
        <v>352</v>
      </c>
      <c r="G201" s="38" t="s">
        <v>391</v>
      </c>
      <c r="H201" s="49">
        <v>0.45300000000000001</v>
      </c>
      <c r="I201" s="50">
        <v>0.45800000000000002</v>
      </c>
      <c r="J201" s="50">
        <v>0.52600000000000002</v>
      </c>
      <c r="K201" s="50">
        <v>0.48699999999999999</v>
      </c>
      <c r="L201" s="50">
        <v>0.52800000000000002</v>
      </c>
      <c r="M201" s="50">
        <v>0.47899999999999998</v>
      </c>
      <c r="N201" s="50">
        <v>0.44</v>
      </c>
      <c r="O201" s="50">
        <v>0.44</v>
      </c>
      <c r="P201" s="50">
        <v>0.45800000000000002</v>
      </c>
      <c r="Q201" s="50">
        <v>0.46400000000000002</v>
      </c>
      <c r="R201" s="50">
        <v>0.45600000000000002</v>
      </c>
      <c r="S201" s="50">
        <v>0.45700000000000002</v>
      </c>
      <c r="T201" s="50">
        <v>0.46899999999999997</v>
      </c>
      <c r="U201" s="50">
        <v>0.47599999999999998</v>
      </c>
      <c r="V201" s="50">
        <v>0.45100000000000001</v>
      </c>
      <c r="W201" s="50">
        <v>0.373</v>
      </c>
      <c r="X201" s="51">
        <v>0.38300000000000001</v>
      </c>
    </row>
    <row r="202" spans="1:24" ht="39.6">
      <c r="A202" s="33" t="s">
        <v>59</v>
      </c>
      <c r="B202" s="34" t="s">
        <v>389</v>
      </c>
      <c r="C202" s="34" t="s">
        <v>908</v>
      </c>
      <c r="D202" s="35" t="s">
        <v>392</v>
      </c>
      <c r="E202" s="36">
        <v>2023</v>
      </c>
      <c r="F202" s="37" t="s">
        <v>352</v>
      </c>
      <c r="G202" s="38" t="s">
        <v>391</v>
      </c>
      <c r="H202" s="49">
        <v>0.60127817065879197</v>
      </c>
      <c r="I202" s="50">
        <v>0.61849391460418701</v>
      </c>
      <c r="J202" s="50">
        <v>0.61731886863708496</v>
      </c>
      <c r="K202" s="50">
        <v>0.63289272785186801</v>
      </c>
      <c r="L202" s="50">
        <v>0.63144022226333596</v>
      </c>
      <c r="M202" s="50">
        <v>0.62505120038986195</v>
      </c>
      <c r="N202" s="50">
        <v>0.60442477464675903</v>
      </c>
      <c r="O202" s="50">
        <v>0.56659090518951405</v>
      </c>
      <c r="P202" s="50">
        <v>0.66992908716201804</v>
      </c>
      <c r="Q202" s="50">
        <v>0.63460230827331499</v>
      </c>
      <c r="R202" s="50">
        <v>0.64917212724685702</v>
      </c>
      <c r="S202" s="50">
        <v>0.60739940404892001</v>
      </c>
      <c r="T202" s="50">
        <v>0.65909838676452603</v>
      </c>
      <c r="U202" s="50">
        <v>0.58815932273864702</v>
      </c>
      <c r="V202" s="50">
        <v>0.63527435064315796</v>
      </c>
      <c r="W202" s="50">
        <v>0.61766427755355802</v>
      </c>
      <c r="X202" s="51">
        <v>0.58268481492996205</v>
      </c>
    </row>
    <row r="203" spans="1:24" ht="39.6">
      <c r="A203" s="33" t="s">
        <v>59</v>
      </c>
      <c r="B203" s="34" t="s">
        <v>389</v>
      </c>
      <c r="C203" s="34" t="s">
        <v>909</v>
      </c>
      <c r="D203" s="35" t="s">
        <v>393</v>
      </c>
      <c r="E203" s="36">
        <v>2023</v>
      </c>
      <c r="F203" s="37" t="s">
        <v>352</v>
      </c>
      <c r="G203" s="38" t="s">
        <v>391</v>
      </c>
      <c r="H203" s="49">
        <v>0.77752811251017995</v>
      </c>
      <c r="I203" s="50">
        <v>0.74745517969131503</v>
      </c>
      <c r="J203" s="50">
        <v>0.744073927402496</v>
      </c>
      <c r="K203" s="50">
        <v>0.787764072418213</v>
      </c>
      <c r="L203" s="50">
        <v>0.80523347854614302</v>
      </c>
      <c r="M203" s="50">
        <v>0.78586107492446899</v>
      </c>
      <c r="N203" s="50">
        <v>0.80104529857635498</v>
      </c>
      <c r="O203" s="50">
        <v>0.77483040094375599</v>
      </c>
      <c r="P203" s="50">
        <v>0.82266825437545799</v>
      </c>
      <c r="Q203" s="50">
        <v>0.78231948614120495</v>
      </c>
      <c r="R203" s="50">
        <v>0.75470846891403198</v>
      </c>
      <c r="S203" s="50">
        <v>0.74930715560913097</v>
      </c>
      <c r="T203" s="50">
        <v>0.78237473964691195</v>
      </c>
      <c r="U203" s="50">
        <v>0.74380815029144298</v>
      </c>
      <c r="V203" s="50">
        <v>0.77472579479217496</v>
      </c>
      <c r="W203" s="50">
        <v>0.747153520584106</v>
      </c>
      <c r="X203" s="51">
        <v>0.74854218959808305</v>
      </c>
    </row>
    <row r="204" spans="1:24" ht="39.6">
      <c r="A204" s="33" t="s">
        <v>59</v>
      </c>
      <c r="B204" s="34" t="s">
        <v>389</v>
      </c>
      <c r="C204" s="34" t="s">
        <v>910</v>
      </c>
      <c r="D204" s="35" t="s">
        <v>394</v>
      </c>
      <c r="E204" s="36">
        <v>2023</v>
      </c>
      <c r="F204" s="37" t="s">
        <v>352</v>
      </c>
      <c r="G204" s="38" t="s">
        <v>391</v>
      </c>
      <c r="H204" s="49">
        <v>0.28517389017738798</v>
      </c>
      <c r="I204" s="50">
        <v>0.30566993355750999</v>
      </c>
      <c r="J204" s="50">
        <v>0.31945055723190302</v>
      </c>
      <c r="K204" s="50">
        <v>0.33062818646431003</v>
      </c>
      <c r="L204" s="50">
        <v>0.35331606864929199</v>
      </c>
      <c r="M204" s="50">
        <v>0.26647374033927901</v>
      </c>
      <c r="N204" s="50">
        <v>0.28890037536621099</v>
      </c>
      <c r="O204" s="50">
        <v>0.312328070402145</v>
      </c>
      <c r="P204" s="50">
        <v>0.28719586133956898</v>
      </c>
      <c r="Q204" s="50">
        <v>0.22176872193813299</v>
      </c>
      <c r="R204" s="50">
        <v>0.20029418170452101</v>
      </c>
      <c r="S204" s="50">
        <v>0.25616139173507702</v>
      </c>
      <c r="T204" s="50">
        <v>0.25545349717140198</v>
      </c>
      <c r="U204" s="50">
        <v>0.276013493537903</v>
      </c>
      <c r="V204" s="50">
        <v>0.211082592606544</v>
      </c>
      <c r="W204" s="50">
        <v>0.19306996464729301</v>
      </c>
      <c r="X204" s="51">
        <v>0.20839844644069699</v>
      </c>
    </row>
    <row r="205" spans="1:24" ht="39.6">
      <c r="A205" s="33" t="s">
        <v>59</v>
      </c>
      <c r="B205" s="34" t="s">
        <v>389</v>
      </c>
      <c r="C205" s="34" t="s">
        <v>911</v>
      </c>
      <c r="D205" s="35" t="s">
        <v>395</v>
      </c>
      <c r="E205" s="36">
        <v>2023</v>
      </c>
      <c r="F205" s="37" t="s">
        <v>352</v>
      </c>
      <c r="G205" s="38" t="s">
        <v>391</v>
      </c>
      <c r="H205" s="49">
        <v>0.45538539058135302</v>
      </c>
      <c r="I205" s="50">
        <v>0.576732397079468</v>
      </c>
      <c r="J205" s="50">
        <v>0.48386797308921797</v>
      </c>
      <c r="K205" s="50">
        <v>0.51689946651458696</v>
      </c>
      <c r="L205" s="50">
        <v>0.51987469196319602</v>
      </c>
      <c r="M205" s="50">
        <v>0.51092159748077404</v>
      </c>
      <c r="N205" s="50">
        <v>0.46016412973403897</v>
      </c>
      <c r="O205" s="50">
        <v>0.42810627818107599</v>
      </c>
      <c r="P205" s="50">
        <v>0.53582781553268399</v>
      </c>
      <c r="Q205" s="50">
        <v>0.448200702667236</v>
      </c>
      <c r="R205" s="50">
        <v>0.434876799583435</v>
      </c>
      <c r="S205" s="50">
        <v>0.45781016349792503</v>
      </c>
      <c r="T205" s="50">
        <v>0.41336581110954301</v>
      </c>
      <c r="U205" s="50">
        <v>0.46054968237876898</v>
      </c>
      <c r="V205" s="50">
        <v>0.50264376401901201</v>
      </c>
      <c r="W205" s="50">
        <v>0.45794093608856201</v>
      </c>
      <c r="X205" s="51">
        <v>0.48536866903305098</v>
      </c>
    </row>
    <row r="206" spans="1:24" ht="39.6">
      <c r="A206" s="33" t="s">
        <v>59</v>
      </c>
      <c r="B206" s="34" t="s">
        <v>389</v>
      </c>
      <c r="C206" s="34" t="s">
        <v>912</v>
      </c>
      <c r="D206" s="35" t="s">
        <v>396</v>
      </c>
      <c r="E206" s="36">
        <v>2023</v>
      </c>
      <c r="F206" s="37" t="s">
        <v>352</v>
      </c>
      <c r="G206" s="38" t="s">
        <v>391</v>
      </c>
      <c r="H206" s="49">
        <v>0.71270111113033896</v>
      </c>
      <c r="I206" s="50">
        <v>0.69433003664016701</v>
      </c>
      <c r="J206" s="50">
        <v>0.68054944276809703</v>
      </c>
      <c r="K206" s="50">
        <v>0.66222125291824296</v>
      </c>
      <c r="L206" s="50">
        <v>0.64668393135070801</v>
      </c>
      <c r="M206" s="50">
        <v>0.73040515184402499</v>
      </c>
      <c r="N206" s="50">
        <v>0.71002507209777799</v>
      </c>
      <c r="O206" s="50">
        <v>0.68626302480697599</v>
      </c>
      <c r="P206" s="50">
        <v>0.71175199747085605</v>
      </c>
      <c r="Q206" s="50">
        <v>0.77397763729095503</v>
      </c>
      <c r="R206" s="50">
        <v>0.79970580339431796</v>
      </c>
      <c r="S206" s="50">
        <v>0.74057221412658703</v>
      </c>
      <c r="T206" s="50">
        <v>0.74266171455383301</v>
      </c>
      <c r="U206" s="50">
        <v>0.71803301572799705</v>
      </c>
      <c r="V206" s="50">
        <v>0.78428983688354503</v>
      </c>
      <c r="W206" s="50">
        <v>0.80446928739547696</v>
      </c>
      <c r="X206" s="51">
        <v>0.78827053308486905</v>
      </c>
    </row>
    <row r="207" spans="1:24" ht="39.6">
      <c r="A207" s="33" t="s">
        <v>59</v>
      </c>
      <c r="B207" s="34" t="s">
        <v>389</v>
      </c>
      <c r="C207" s="34" t="s">
        <v>913</v>
      </c>
      <c r="D207" s="35" t="s">
        <v>397</v>
      </c>
      <c r="E207" s="36">
        <v>2023</v>
      </c>
      <c r="F207" s="37" t="s">
        <v>352</v>
      </c>
      <c r="G207" s="38" t="s">
        <v>391</v>
      </c>
      <c r="H207" s="49">
        <v>0.97489348523012098</v>
      </c>
      <c r="I207" s="50">
        <v>0.95513242483139005</v>
      </c>
      <c r="J207" s="50">
        <v>0.94636869430542003</v>
      </c>
      <c r="K207" s="50">
        <v>0.96543037891387895</v>
      </c>
      <c r="L207" s="50">
        <v>0.94896131753921498</v>
      </c>
      <c r="M207" s="50">
        <v>0.96604210138320901</v>
      </c>
      <c r="N207" s="50">
        <v>0.97894477844238303</v>
      </c>
      <c r="O207" s="50">
        <v>0.97881180047988903</v>
      </c>
      <c r="P207" s="50">
        <v>0.97116941213607799</v>
      </c>
      <c r="Q207" s="50">
        <v>0.97926634550094604</v>
      </c>
      <c r="R207" s="50">
        <v>0.98131030797958396</v>
      </c>
      <c r="S207" s="50">
        <v>0.97806000709533703</v>
      </c>
      <c r="T207" s="50">
        <v>0.97008121013641402</v>
      </c>
      <c r="U207" s="50">
        <v>0.963459491729736</v>
      </c>
      <c r="V207" s="50">
        <v>0.96843260526657104</v>
      </c>
      <c r="W207" s="50">
        <v>0.96816974878311202</v>
      </c>
      <c r="X207" s="51">
        <v>0.98314672708511397</v>
      </c>
    </row>
    <row r="208" spans="1:24" ht="40.9">
      <c r="A208" s="33" t="s">
        <v>61</v>
      </c>
      <c r="B208" s="34" t="s">
        <v>398</v>
      </c>
      <c r="C208" s="34" t="s">
        <v>914</v>
      </c>
      <c r="D208" s="35" t="s">
        <v>399</v>
      </c>
      <c r="E208" s="36"/>
      <c r="F208" s="37" t="s">
        <v>113</v>
      </c>
      <c r="G208" s="38" t="s">
        <v>164</v>
      </c>
      <c r="H208" s="47">
        <v>1.10617585159506E-2</v>
      </c>
      <c r="I208" s="45">
        <v>6.2420329540626004E-3</v>
      </c>
      <c r="J208" s="45">
        <v>1.6078774027177899E-2</v>
      </c>
      <c r="K208" s="45">
        <v>2.16683168116549E-2</v>
      </c>
      <c r="L208" s="45">
        <v>6.1051920706805098E-3</v>
      </c>
      <c r="M208" s="45">
        <v>9.6909440477916907E-3</v>
      </c>
      <c r="N208" s="45">
        <v>4.5104404402274E-2</v>
      </c>
      <c r="O208" s="45">
        <v>9.5062388325514405E-2</v>
      </c>
      <c r="P208" s="45">
        <v>2.51697192474108E-2</v>
      </c>
      <c r="Q208" s="45">
        <v>8.7776489507933007E-3</v>
      </c>
      <c r="R208" s="45">
        <v>8.5763044576634192E-3</v>
      </c>
      <c r="S208" s="45">
        <v>1.2611980985949499E-2</v>
      </c>
      <c r="T208" s="45">
        <v>5.8240201974880902E-3</v>
      </c>
      <c r="U208" s="45">
        <v>4.8306151132202699E-3</v>
      </c>
      <c r="V208" s="45">
        <v>4.2171772952249303E-3</v>
      </c>
      <c r="W208" s="45">
        <v>2.9051634133462598E-4</v>
      </c>
      <c r="X208" s="46">
        <v>1.6207786330134301E-3</v>
      </c>
    </row>
    <row r="209" spans="1:24" ht="20.45">
      <c r="A209" s="33" t="s">
        <v>61</v>
      </c>
      <c r="B209" s="34" t="s">
        <v>398</v>
      </c>
      <c r="C209" s="34" t="s">
        <v>915</v>
      </c>
      <c r="D209" s="35" t="s">
        <v>400</v>
      </c>
      <c r="E209" s="36"/>
      <c r="F209" s="37" t="s">
        <v>113</v>
      </c>
      <c r="G209" s="38" t="s">
        <v>164</v>
      </c>
      <c r="H209" s="47">
        <v>5.34745510593614E-2</v>
      </c>
      <c r="I209" s="45">
        <v>7.49964590906945E-3</v>
      </c>
      <c r="J209" s="45">
        <v>1.5231253273679001E-3</v>
      </c>
      <c r="K209" s="45">
        <v>5.09282789422752E-4</v>
      </c>
      <c r="L209" s="45">
        <v>4.9560229971313098E-3</v>
      </c>
      <c r="M209" s="45">
        <v>3.98753996858894E-2</v>
      </c>
      <c r="N209" s="45">
        <v>0.11834648064709601</v>
      </c>
      <c r="O209" s="45">
        <v>0.14995346287519501</v>
      </c>
      <c r="P209" s="45">
        <v>0.242512530101611</v>
      </c>
      <c r="Q209" s="45">
        <v>0.204521893145165</v>
      </c>
      <c r="R209" s="45">
        <v>0.29601492247973299</v>
      </c>
      <c r="S209" s="45">
        <v>0.136365872080325</v>
      </c>
      <c r="T209" s="45">
        <v>0.26204441043515903</v>
      </c>
      <c r="U209" s="45">
        <v>0.17972514977141199</v>
      </c>
      <c r="V209" s="45">
        <v>9.4852911245041596E-2</v>
      </c>
      <c r="W209" s="45">
        <v>7.0286512077944396E-4</v>
      </c>
      <c r="X209" s="46">
        <v>3.2619738353126802E-3</v>
      </c>
    </row>
    <row r="210" spans="1:24" ht="40.9">
      <c r="A210" s="33" t="s">
        <v>61</v>
      </c>
      <c r="B210" s="34" t="s">
        <v>398</v>
      </c>
      <c r="C210" s="34" t="s">
        <v>916</v>
      </c>
      <c r="D210" s="35" t="s">
        <v>401</v>
      </c>
      <c r="E210" s="36"/>
      <c r="F210" s="37" t="s">
        <v>113</v>
      </c>
      <c r="G210" s="38" t="s">
        <v>164</v>
      </c>
      <c r="H210" s="47">
        <v>0.38984937078742599</v>
      </c>
      <c r="I210" s="45">
        <v>0.54479368301779896</v>
      </c>
      <c r="J210" s="45">
        <v>0.37584471263158298</v>
      </c>
      <c r="K210" s="45">
        <v>0.37365047001962498</v>
      </c>
      <c r="L210" s="45">
        <v>0.69576832899552399</v>
      </c>
      <c r="M210" s="45">
        <v>0.74496451791363405</v>
      </c>
      <c r="N210" s="45">
        <v>0.42564433522082101</v>
      </c>
      <c r="O210" s="45">
        <v>0.28679469301410498</v>
      </c>
      <c r="P210" s="45">
        <v>0.22267116314583901</v>
      </c>
      <c r="Q210" s="45">
        <v>0.18589557887346</v>
      </c>
      <c r="R210" s="45">
        <v>0.120018653099666</v>
      </c>
      <c r="S210" s="45">
        <v>0.14983902081975201</v>
      </c>
      <c r="T210" s="45">
        <v>0.126945391079338</v>
      </c>
      <c r="U210" s="45">
        <v>8.4856751880010697E-2</v>
      </c>
      <c r="V210" s="45">
        <v>0.13746419304666799</v>
      </c>
      <c r="W210" s="45">
        <v>0.25907667964132503</v>
      </c>
      <c r="X210" s="46">
        <v>0.55225149471559798</v>
      </c>
    </row>
    <row r="211" spans="1:24" ht="20.45">
      <c r="A211" s="33" t="s">
        <v>61</v>
      </c>
      <c r="B211" s="34" t="s">
        <v>398</v>
      </c>
      <c r="C211" s="34" t="s">
        <v>917</v>
      </c>
      <c r="D211" s="35" t="s">
        <v>402</v>
      </c>
      <c r="E211" s="36"/>
      <c r="F211" s="37" t="s">
        <v>113</v>
      </c>
      <c r="G211" s="38" t="s">
        <v>164</v>
      </c>
      <c r="H211" s="47">
        <v>0.23871895971089299</v>
      </c>
      <c r="I211" s="45">
        <v>2.78386289599169E-2</v>
      </c>
      <c r="J211" s="45">
        <v>1.47821902405053E-2</v>
      </c>
      <c r="K211" s="45">
        <v>1.1858673549970001E-3</v>
      </c>
      <c r="L211" s="45">
        <v>4.6286711073351898E-4</v>
      </c>
      <c r="M211" s="45">
        <v>1.5177661562718599E-2</v>
      </c>
      <c r="N211" s="45">
        <v>0.30769346331667902</v>
      </c>
      <c r="O211" s="45">
        <v>0.25548654190517101</v>
      </c>
      <c r="P211" s="45">
        <v>0.36112083227284297</v>
      </c>
      <c r="Q211" s="45">
        <v>0.41081495569107002</v>
      </c>
      <c r="R211" s="45">
        <v>0.49284633784091098</v>
      </c>
      <c r="S211" s="45">
        <v>0.63540800010670795</v>
      </c>
      <c r="T211" s="45">
        <v>0.54791381456961596</v>
      </c>
      <c r="U211" s="45">
        <v>0.63243836524224195</v>
      </c>
      <c r="V211" s="45">
        <v>0.59975931363058099</v>
      </c>
      <c r="W211" s="45">
        <v>0.41280006244378198</v>
      </c>
      <c r="X211" s="46">
        <v>0.204942487637953</v>
      </c>
    </row>
    <row r="212" spans="1:24" ht="20.45">
      <c r="A212" s="33" t="s">
        <v>61</v>
      </c>
      <c r="B212" s="34" t="s">
        <v>398</v>
      </c>
      <c r="C212" s="34" t="s">
        <v>918</v>
      </c>
      <c r="D212" s="35" t="s">
        <v>403</v>
      </c>
      <c r="E212" s="36"/>
      <c r="F212" s="37" t="s">
        <v>113</v>
      </c>
      <c r="G212" s="38" t="s">
        <v>164</v>
      </c>
      <c r="H212" s="47">
        <v>1.10193415900019E-2</v>
      </c>
      <c r="I212" s="45">
        <v>1.40220008498182E-2</v>
      </c>
      <c r="J212" s="45">
        <v>2.79133230309745E-3</v>
      </c>
      <c r="K212" s="45">
        <v>3.7667094532960301E-3</v>
      </c>
      <c r="L212" s="45">
        <v>1.1791807371129E-3</v>
      </c>
      <c r="M212" s="45">
        <v>2.8449190435261501E-3</v>
      </c>
      <c r="N212" s="45">
        <v>1.7858730120973599E-3</v>
      </c>
      <c r="O212" s="45">
        <v>2.1044003400814901E-3</v>
      </c>
      <c r="P212" s="45">
        <v>2.1988859956536201E-3</v>
      </c>
      <c r="Q212" s="45">
        <v>9.0538167578757295E-4</v>
      </c>
      <c r="R212" s="45">
        <v>7.4642927468139401E-4</v>
      </c>
      <c r="S212" s="45">
        <v>4.2403966873802703E-3</v>
      </c>
      <c r="T212" s="45">
        <v>6.0691261798675204E-3</v>
      </c>
      <c r="U212" s="45">
        <v>6.2284634622060504E-3</v>
      </c>
      <c r="V212" s="45">
        <v>1.17770601176611E-2</v>
      </c>
      <c r="W212" s="45">
        <v>1.0041489161244199E-2</v>
      </c>
      <c r="X212" s="46">
        <v>3.79979823975021E-2</v>
      </c>
    </row>
    <row r="213" spans="1:24" ht="40.9">
      <c r="A213" s="33" t="s">
        <v>61</v>
      </c>
      <c r="B213" s="34" t="s">
        <v>398</v>
      </c>
      <c r="C213" s="34" t="s">
        <v>919</v>
      </c>
      <c r="D213" s="35" t="s">
        <v>404</v>
      </c>
      <c r="E213" s="36"/>
      <c r="F213" s="37" t="s">
        <v>113</v>
      </c>
      <c r="G213" s="38" t="s">
        <v>164</v>
      </c>
      <c r="H213" s="47">
        <v>0.23016117322575999</v>
      </c>
      <c r="I213" s="45">
        <v>0.392954180633587</v>
      </c>
      <c r="J213" s="45">
        <v>0.58879305146489402</v>
      </c>
      <c r="K213" s="45">
        <v>0.59842322240672896</v>
      </c>
      <c r="L213" s="45">
        <v>0.29044336085151701</v>
      </c>
      <c r="M213" s="45">
        <v>0.18668110094797</v>
      </c>
      <c r="N213" s="45">
        <v>8.7120932334629905E-2</v>
      </c>
      <c r="O213" s="45">
        <v>0.148212786050684</v>
      </c>
      <c r="P213" s="45">
        <v>0.11343106975742499</v>
      </c>
      <c r="Q213" s="45">
        <v>0.16122590790579</v>
      </c>
      <c r="R213" s="45">
        <v>6.4356246727693703E-2</v>
      </c>
      <c r="S213" s="45">
        <v>3.5501286332859303E-2</v>
      </c>
      <c r="T213" s="45">
        <v>3.2735335567080498E-2</v>
      </c>
      <c r="U213" s="45">
        <v>2.7803285406844701E-2</v>
      </c>
      <c r="V213" s="45">
        <v>5.6946874393660703E-2</v>
      </c>
      <c r="W213" s="45">
        <v>0.12963409192033901</v>
      </c>
      <c r="X213" s="46">
        <v>5.5014636081705502E-2</v>
      </c>
    </row>
    <row r="214" spans="1:24" ht="20.45">
      <c r="A214" s="33" t="s">
        <v>61</v>
      </c>
      <c r="B214" s="34" t="s">
        <v>398</v>
      </c>
      <c r="C214" s="34" t="s">
        <v>920</v>
      </c>
      <c r="D214" s="35" t="s">
        <v>405</v>
      </c>
      <c r="E214" s="36"/>
      <c r="F214" s="37" t="s">
        <v>113</v>
      </c>
      <c r="G214" s="38" t="s">
        <v>164</v>
      </c>
      <c r="H214" s="47">
        <v>4.2307318076551401E-2</v>
      </c>
      <c r="I214" s="45">
        <v>4.1953873754780203E-3</v>
      </c>
      <c r="J214" s="45">
        <v>0</v>
      </c>
      <c r="K214" s="45">
        <v>0</v>
      </c>
      <c r="L214" s="45">
        <v>0</v>
      </c>
      <c r="M214" s="45">
        <v>9.8236494882469503E-5</v>
      </c>
      <c r="N214" s="45">
        <v>1.0739024674217499E-2</v>
      </c>
      <c r="O214" s="45">
        <v>5.6344020093126203E-2</v>
      </c>
      <c r="P214" s="45">
        <v>2.2021898310394101E-2</v>
      </c>
      <c r="Q214" s="45">
        <v>1.5957352035756E-2</v>
      </c>
      <c r="R214" s="45">
        <v>9.4562972528655104E-3</v>
      </c>
      <c r="S214" s="45">
        <v>7.3974560120846902E-3</v>
      </c>
      <c r="T214" s="45">
        <v>8.0516843248903405E-4</v>
      </c>
      <c r="U214" s="45">
        <v>3.8431292620069199E-3</v>
      </c>
      <c r="V214" s="45">
        <v>4.6409820202240201E-2</v>
      </c>
      <c r="W214" s="45">
        <v>0.14527689262454499</v>
      </c>
      <c r="X214" s="46">
        <v>8.7893776227867301E-2</v>
      </c>
    </row>
    <row r="215" spans="1:24" ht="20.45">
      <c r="A215" s="33" t="s">
        <v>61</v>
      </c>
      <c r="B215" s="34" t="s">
        <v>398</v>
      </c>
      <c r="C215" s="34" t="s">
        <v>921</v>
      </c>
      <c r="D215" s="35" t="s">
        <v>406</v>
      </c>
      <c r="E215" s="36"/>
      <c r="F215" s="37" t="s">
        <v>113</v>
      </c>
      <c r="G215" s="38" t="s">
        <v>164</v>
      </c>
      <c r="H215" s="47">
        <v>1.90337899676522E-2</v>
      </c>
      <c r="I215" s="45">
        <v>2.4544403002691099E-3</v>
      </c>
      <c r="J215" s="45">
        <v>1.8681400537504101E-4</v>
      </c>
      <c r="K215" s="45">
        <v>7.96131164275193E-4</v>
      </c>
      <c r="L215" s="45">
        <v>1.08504723730077E-3</v>
      </c>
      <c r="M215" s="45">
        <v>6.6722030358769995E-4</v>
      </c>
      <c r="N215" s="45">
        <v>3.56548639218598E-3</v>
      </c>
      <c r="O215" s="45">
        <v>6.0417073961228397E-3</v>
      </c>
      <c r="P215" s="45">
        <v>1.08739011688235E-2</v>
      </c>
      <c r="Q215" s="45">
        <v>1.1901281722178501E-2</v>
      </c>
      <c r="R215" s="45">
        <v>7.9848088667860296E-3</v>
      </c>
      <c r="S215" s="45">
        <v>1.8635986974941902E-2</v>
      </c>
      <c r="T215" s="45">
        <v>1.7662733538962298E-2</v>
      </c>
      <c r="U215" s="45">
        <v>6.0274239862057197E-2</v>
      </c>
      <c r="V215" s="45">
        <v>4.8572650068922502E-2</v>
      </c>
      <c r="W215" s="45">
        <v>4.2177402746650799E-2</v>
      </c>
      <c r="X215" s="46">
        <v>3.2427971085980299E-2</v>
      </c>
    </row>
    <row r="216" spans="1:24" ht="20.45">
      <c r="A216" s="33" t="s">
        <v>63</v>
      </c>
      <c r="B216" s="34" t="s">
        <v>407</v>
      </c>
      <c r="C216" s="34" t="s">
        <v>922</v>
      </c>
      <c r="D216" s="35" t="s">
        <v>408</v>
      </c>
      <c r="E216" s="36">
        <v>2026</v>
      </c>
      <c r="F216" s="37" t="s">
        <v>409</v>
      </c>
      <c r="G216" s="38" t="s">
        <v>410</v>
      </c>
      <c r="H216" s="39">
        <v>609</v>
      </c>
      <c r="I216" s="40">
        <v>584</v>
      </c>
      <c r="J216" s="40">
        <v>588</v>
      </c>
      <c r="K216" s="40">
        <v>599</v>
      </c>
      <c r="L216" s="40">
        <v>588</v>
      </c>
      <c r="M216" s="40">
        <v>599</v>
      </c>
      <c r="N216" s="40">
        <v>597</v>
      </c>
      <c r="O216" s="40">
        <v>623</v>
      </c>
      <c r="P216" s="40">
        <v>605</v>
      </c>
      <c r="Q216" s="40">
        <v>604</v>
      </c>
      <c r="R216" s="40">
        <v>602</v>
      </c>
      <c r="S216" s="40">
        <v>607</v>
      </c>
      <c r="T216" s="40">
        <v>596</v>
      </c>
      <c r="U216" s="40">
        <v>596</v>
      </c>
      <c r="V216" s="40">
        <v>606</v>
      </c>
      <c r="W216" s="40">
        <v>611</v>
      </c>
      <c r="X216" s="41">
        <v>612</v>
      </c>
    </row>
    <row r="217" spans="1:24" ht="20.45">
      <c r="A217" s="33" t="s">
        <v>63</v>
      </c>
      <c r="B217" s="34" t="s">
        <v>407</v>
      </c>
      <c r="C217" s="34" t="s">
        <v>923</v>
      </c>
      <c r="D217" s="35" t="s">
        <v>411</v>
      </c>
      <c r="E217" s="36">
        <v>2026</v>
      </c>
      <c r="F217" s="37" t="s">
        <v>409</v>
      </c>
      <c r="G217" s="38" t="s">
        <v>410</v>
      </c>
      <c r="H217" s="39">
        <v>631</v>
      </c>
      <c r="I217" s="40">
        <v>607</v>
      </c>
      <c r="J217" s="40">
        <v>609</v>
      </c>
      <c r="K217" s="40">
        <v>617</v>
      </c>
      <c r="L217" s="40">
        <v>597</v>
      </c>
      <c r="M217" s="40">
        <v>613</v>
      </c>
      <c r="N217" s="40">
        <v>614</v>
      </c>
      <c r="O217" s="40">
        <v>650</v>
      </c>
      <c r="P217" s="40">
        <v>630</v>
      </c>
      <c r="Q217" s="40">
        <v>629</v>
      </c>
      <c r="R217" s="40">
        <v>627</v>
      </c>
      <c r="S217" s="40">
        <v>628</v>
      </c>
      <c r="T217" s="40">
        <v>607</v>
      </c>
      <c r="U217" s="40">
        <v>606</v>
      </c>
      <c r="V217" s="40">
        <v>623</v>
      </c>
      <c r="W217" s="40">
        <v>632</v>
      </c>
      <c r="X217" s="41">
        <v>630</v>
      </c>
    </row>
    <row r="218" spans="1:24" ht="20.45">
      <c r="A218" s="33" t="s">
        <v>63</v>
      </c>
      <c r="B218" s="34" t="s">
        <v>407</v>
      </c>
      <c r="C218" s="34" t="s">
        <v>924</v>
      </c>
      <c r="D218" s="35" t="s">
        <v>412</v>
      </c>
      <c r="E218" s="36">
        <v>2025</v>
      </c>
      <c r="F218" s="37" t="s">
        <v>409</v>
      </c>
      <c r="G218" s="38" t="s">
        <v>410</v>
      </c>
      <c r="H218" s="39">
        <v>596</v>
      </c>
      <c r="I218" s="40">
        <v>572</v>
      </c>
      <c r="J218" s="40">
        <v>575</v>
      </c>
      <c r="K218" s="40">
        <v>585</v>
      </c>
      <c r="L218" s="40">
        <v>571</v>
      </c>
      <c r="M218" s="40">
        <v>585</v>
      </c>
      <c r="N218" s="40">
        <v>588</v>
      </c>
      <c r="O218" s="40">
        <v>609</v>
      </c>
      <c r="P218" s="40">
        <v>592</v>
      </c>
      <c r="Q218" s="40">
        <v>589</v>
      </c>
      <c r="R218" s="40">
        <v>586</v>
      </c>
      <c r="S218" s="40">
        <v>592</v>
      </c>
      <c r="T218" s="40">
        <v>582</v>
      </c>
      <c r="U218" s="40">
        <v>582</v>
      </c>
      <c r="V218" s="40">
        <v>592</v>
      </c>
      <c r="W218" s="40">
        <v>593</v>
      </c>
      <c r="X218" s="41">
        <v>598</v>
      </c>
    </row>
    <row r="219" spans="1:24" ht="20.45">
      <c r="A219" s="33" t="s">
        <v>63</v>
      </c>
      <c r="B219" s="34" t="s">
        <v>407</v>
      </c>
      <c r="C219" s="34" t="s">
        <v>925</v>
      </c>
      <c r="D219" s="35" t="s">
        <v>413</v>
      </c>
      <c r="E219" s="36">
        <v>2025</v>
      </c>
      <c r="F219" s="37" t="s">
        <v>409</v>
      </c>
      <c r="G219" s="38" t="s">
        <v>410</v>
      </c>
      <c r="H219" s="39">
        <v>625</v>
      </c>
      <c r="I219" s="40">
        <v>607</v>
      </c>
      <c r="J219" s="40">
        <v>598</v>
      </c>
      <c r="K219" s="40">
        <v>609</v>
      </c>
      <c r="L219" s="40">
        <v>589</v>
      </c>
      <c r="M219" s="40">
        <v>610</v>
      </c>
      <c r="N219" s="40">
        <v>611</v>
      </c>
      <c r="O219" s="40">
        <v>643</v>
      </c>
      <c r="P219" s="40">
        <v>621</v>
      </c>
      <c r="Q219" s="40">
        <v>621</v>
      </c>
      <c r="R219" s="40">
        <v>620</v>
      </c>
      <c r="S219" s="40">
        <v>623</v>
      </c>
      <c r="T219" s="40">
        <v>601</v>
      </c>
      <c r="U219" s="40">
        <v>593</v>
      </c>
      <c r="V219" s="40">
        <v>619</v>
      </c>
      <c r="W219" s="40">
        <v>620</v>
      </c>
      <c r="X219" s="41">
        <v>619</v>
      </c>
    </row>
    <row r="220" spans="1:24" ht="20.45">
      <c r="A220" s="33" t="s">
        <v>63</v>
      </c>
      <c r="B220" s="34" t="s">
        <v>414</v>
      </c>
      <c r="C220" s="34" t="s">
        <v>926</v>
      </c>
      <c r="D220" s="35" t="s">
        <v>415</v>
      </c>
      <c r="E220" s="36">
        <v>2024</v>
      </c>
      <c r="F220" s="37" t="s">
        <v>409</v>
      </c>
      <c r="G220" s="38" t="s">
        <v>416</v>
      </c>
      <c r="H220" s="39">
        <v>264</v>
      </c>
      <c r="I220" s="40">
        <v>272</v>
      </c>
      <c r="J220" s="40">
        <v>253</v>
      </c>
      <c r="K220" s="40">
        <v>262</v>
      </c>
      <c r="L220" s="40">
        <v>256</v>
      </c>
      <c r="M220" s="40">
        <v>261</v>
      </c>
      <c r="N220" s="40">
        <v>258</v>
      </c>
      <c r="O220" s="40">
        <v>267</v>
      </c>
      <c r="P220" s="40">
        <v>264</v>
      </c>
      <c r="Q220" s="40">
        <v>268</v>
      </c>
      <c r="R220" s="40">
        <v>268</v>
      </c>
      <c r="S220" s="40">
        <v>266</v>
      </c>
      <c r="T220" s="40">
        <v>259</v>
      </c>
      <c r="U220" s="40">
        <v>259</v>
      </c>
      <c r="V220" s="40">
        <v>261</v>
      </c>
      <c r="W220" s="40">
        <v>260</v>
      </c>
      <c r="X220" s="41">
        <v>264</v>
      </c>
    </row>
    <row r="221" spans="1:24" ht="20.45">
      <c r="A221" s="33" t="s">
        <v>63</v>
      </c>
      <c r="B221" s="34" t="s">
        <v>414</v>
      </c>
      <c r="C221" s="34" t="s">
        <v>927</v>
      </c>
      <c r="D221" s="35" t="s">
        <v>417</v>
      </c>
      <c r="E221" s="36">
        <v>2024</v>
      </c>
      <c r="F221" s="37" t="s">
        <v>409</v>
      </c>
      <c r="G221" s="38" t="s">
        <v>416</v>
      </c>
      <c r="H221" s="39">
        <v>278</v>
      </c>
      <c r="I221" s="40">
        <v>286</v>
      </c>
      <c r="J221" s="40">
        <v>269</v>
      </c>
      <c r="K221" s="40">
        <v>276</v>
      </c>
      <c r="L221" s="40">
        <v>271</v>
      </c>
      <c r="M221" s="40">
        <v>277</v>
      </c>
      <c r="N221" s="40">
        <v>272</v>
      </c>
      <c r="O221" s="40">
        <v>281</v>
      </c>
      <c r="P221" s="40">
        <v>277</v>
      </c>
      <c r="Q221" s="40">
        <v>280</v>
      </c>
      <c r="R221" s="40">
        <v>279</v>
      </c>
      <c r="S221" s="40">
        <v>279</v>
      </c>
      <c r="T221" s="40">
        <v>274</v>
      </c>
      <c r="U221" s="40">
        <v>274</v>
      </c>
      <c r="V221" s="40">
        <v>276</v>
      </c>
      <c r="W221" s="40">
        <v>277</v>
      </c>
      <c r="X221" s="41">
        <v>277</v>
      </c>
    </row>
    <row r="222" spans="1:24" ht="20.45">
      <c r="A222" s="33" t="s">
        <v>63</v>
      </c>
      <c r="B222" s="34" t="s">
        <v>414</v>
      </c>
      <c r="C222" s="34" t="s">
        <v>928</v>
      </c>
      <c r="D222" s="35" t="s">
        <v>418</v>
      </c>
      <c r="E222" s="36">
        <v>2024</v>
      </c>
      <c r="F222" s="37" t="s">
        <v>409</v>
      </c>
      <c r="G222" s="38" t="s">
        <v>416</v>
      </c>
      <c r="H222" s="39">
        <v>245</v>
      </c>
      <c r="I222" s="40">
        <v>245</v>
      </c>
      <c r="J222" s="40">
        <v>238</v>
      </c>
      <c r="K222" s="40">
        <v>239</v>
      </c>
      <c r="L222" s="40">
        <v>231</v>
      </c>
      <c r="M222" s="40">
        <v>240</v>
      </c>
      <c r="N222" s="40">
        <v>238</v>
      </c>
      <c r="O222" s="40">
        <v>250</v>
      </c>
      <c r="P222" s="40">
        <v>243</v>
      </c>
      <c r="Q222" s="40">
        <v>248</v>
      </c>
      <c r="R222" s="40">
        <v>244</v>
      </c>
      <c r="S222" s="40">
        <v>244</v>
      </c>
      <c r="T222" s="40">
        <v>238</v>
      </c>
      <c r="U222" s="40">
        <v>240</v>
      </c>
      <c r="V222" s="40">
        <v>243</v>
      </c>
      <c r="W222" s="40">
        <v>240</v>
      </c>
      <c r="X222" s="41">
        <v>246</v>
      </c>
    </row>
    <row r="223" spans="1:24" ht="20.45">
      <c r="A223" s="33" t="s">
        <v>63</v>
      </c>
      <c r="B223" s="34" t="s">
        <v>414</v>
      </c>
      <c r="C223" s="34" t="s">
        <v>929</v>
      </c>
      <c r="D223" s="35" t="s">
        <v>419</v>
      </c>
      <c r="E223" s="36">
        <v>2024</v>
      </c>
      <c r="F223" s="37" t="s">
        <v>409</v>
      </c>
      <c r="G223" s="38" t="s">
        <v>416</v>
      </c>
      <c r="H223" s="39">
        <v>249</v>
      </c>
      <c r="I223" s="40">
        <v>250</v>
      </c>
      <c r="J223" s="40">
        <v>245</v>
      </c>
      <c r="K223" s="40">
        <v>248</v>
      </c>
      <c r="L223" s="40">
        <v>241</v>
      </c>
      <c r="M223" s="40">
        <v>247</v>
      </c>
      <c r="N223" s="40">
        <v>242</v>
      </c>
      <c r="O223" s="40">
        <v>253</v>
      </c>
      <c r="P223" s="40">
        <v>247</v>
      </c>
      <c r="Q223" s="40">
        <v>251</v>
      </c>
      <c r="R223" s="40">
        <v>249</v>
      </c>
      <c r="S223" s="40">
        <v>248</v>
      </c>
      <c r="T223" s="40">
        <v>244</v>
      </c>
      <c r="U223" s="40">
        <v>246</v>
      </c>
      <c r="V223" s="40">
        <v>248</v>
      </c>
      <c r="W223" s="40">
        <v>248</v>
      </c>
      <c r="X223" s="41">
        <v>249</v>
      </c>
    </row>
    <row r="224" spans="1:24" ht="20.45">
      <c r="A224" s="33" t="s">
        <v>63</v>
      </c>
      <c r="B224" s="34" t="s">
        <v>414</v>
      </c>
      <c r="C224" s="34" t="s">
        <v>930</v>
      </c>
      <c r="D224" s="35" t="s">
        <v>420</v>
      </c>
      <c r="E224" s="36">
        <v>2024</v>
      </c>
      <c r="F224" s="37" t="s">
        <v>409</v>
      </c>
      <c r="G224" s="38" t="s">
        <v>416</v>
      </c>
      <c r="H224" s="39">
        <v>259</v>
      </c>
      <c r="I224" s="40">
        <v>272</v>
      </c>
      <c r="J224" s="40">
        <v>252</v>
      </c>
      <c r="K224" s="40">
        <v>253</v>
      </c>
      <c r="L224" s="40">
        <v>242</v>
      </c>
      <c r="M224" s="40">
        <v>254</v>
      </c>
      <c r="N224" s="40">
        <v>254</v>
      </c>
      <c r="O224" s="40">
        <v>267</v>
      </c>
      <c r="P224" s="40">
        <v>253</v>
      </c>
      <c r="Q224" s="40">
        <v>260</v>
      </c>
      <c r="R224" s="40">
        <v>261</v>
      </c>
      <c r="S224" s="40">
        <v>257</v>
      </c>
      <c r="T224" s="40">
        <v>248</v>
      </c>
      <c r="U224" s="40">
        <v>250</v>
      </c>
      <c r="V224" s="40">
        <v>251</v>
      </c>
      <c r="W224" s="40">
        <v>257</v>
      </c>
      <c r="X224" s="41">
        <v>258</v>
      </c>
    </row>
    <row r="225" spans="1:24" ht="20.45">
      <c r="A225" s="33" t="s">
        <v>63</v>
      </c>
      <c r="B225" s="34" t="s">
        <v>414</v>
      </c>
      <c r="C225" s="34" t="s">
        <v>931</v>
      </c>
      <c r="D225" s="35" t="s">
        <v>421</v>
      </c>
      <c r="E225" s="36">
        <v>2024</v>
      </c>
      <c r="F225" s="37" t="s">
        <v>409</v>
      </c>
      <c r="G225" s="38" t="s">
        <v>416</v>
      </c>
      <c r="H225" s="39">
        <v>249</v>
      </c>
      <c r="I225" s="40">
        <v>251</v>
      </c>
      <c r="J225" s="40">
        <v>246</v>
      </c>
      <c r="K225" s="40">
        <v>246</v>
      </c>
      <c r="L225" s="40">
        <v>240</v>
      </c>
      <c r="M225" s="40">
        <v>248</v>
      </c>
      <c r="N225" s="40">
        <v>246</v>
      </c>
      <c r="O225" s="40">
        <v>254</v>
      </c>
      <c r="P225" s="40">
        <v>247</v>
      </c>
      <c r="Q225" s="40">
        <v>249</v>
      </c>
      <c r="R225" s="40">
        <v>248</v>
      </c>
      <c r="S225" s="40">
        <v>247</v>
      </c>
      <c r="T225" s="40">
        <v>240</v>
      </c>
      <c r="U225" s="40">
        <v>246</v>
      </c>
      <c r="V225" s="40">
        <v>243</v>
      </c>
      <c r="W225" s="40">
        <v>249</v>
      </c>
      <c r="X225" s="41">
        <v>247</v>
      </c>
    </row>
    <row r="226" spans="1:24" ht="39.6">
      <c r="A226" s="33" t="s">
        <v>63</v>
      </c>
      <c r="B226" s="34" t="s">
        <v>422</v>
      </c>
      <c r="C226" s="34" t="s">
        <v>932</v>
      </c>
      <c r="D226" s="35" t="s">
        <v>423</v>
      </c>
      <c r="E226" s="36">
        <v>2024</v>
      </c>
      <c r="F226" s="37" t="s">
        <v>134</v>
      </c>
      <c r="G226" s="38" t="s">
        <v>141</v>
      </c>
      <c r="H226" s="39">
        <v>12.1</v>
      </c>
      <c r="I226" s="40">
        <v>12.3</v>
      </c>
      <c r="J226" s="40">
        <v>12.2</v>
      </c>
      <c r="K226" s="40">
        <v>12.5</v>
      </c>
      <c r="L226" s="40">
        <v>11.8</v>
      </c>
      <c r="M226" s="40">
        <v>11.8</v>
      </c>
      <c r="N226" s="40">
        <v>12.3</v>
      </c>
      <c r="O226" s="40">
        <v>12.7</v>
      </c>
      <c r="P226" s="40">
        <v>11.4</v>
      </c>
      <c r="Q226" s="40">
        <v>11.1</v>
      </c>
      <c r="R226" s="40">
        <v>11</v>
      </c>
      <c r="S226" s="40">
        <v>11.9</v>
      </c>
      <c r="T226" s="40">
        <v>11.3</v>
      </c>
      <c r="U226" s="40">
        <v>11.4</v>
      </c>
      <c r="V226" s="40">
        <v>11.3</v>
      </c>
      <c r="W226" s="40">
        <v>11.6</v>
      </c>
      <c r="X226" s="41">
        <v>12.4</v>
      </c>
    </row>
    <row r="227" spans="1:24" ht="20.45">
      <c r="A227" s="33" t="s">
        <v>63</v>
      </c>
      <c r="B227" s="34" t="s">
        <v>424</v>
      </c>
      <c r="C227" s="34" t="s">
        <v>933</v>
      </c>
      <c r="D227" s="35" t="s">
        <v>425</v>
      </c>
      <c r="E227" s="36">
        <v>2025</v>
      </c>
      <c r="F227" s="37" t="s">
        <v>113</v>
      </c>
      <c r="G227" s="38" t="s">
        <v>426</v>
      </c>
      <c r="H227" s="49">
        <v>0.874</v>
      </c>
      <c r="I227" s="50">
        <v>0.86799999999999999</v>
      </c>
      <c r="J227" s="50">
        <v>0.85399999999999998</v>
      </c>
      <c r="K227" s="50">
        <v>0.85499999999999998</v>
      </c>
      <c r="L227" s="50">
        <v>0.83</v>
      </c>
      <c r="M227" s="50">
        <v>0.872</v>
      </c>
      <c r="N227" s="50">
        <v>0.872</v>
      </c>
      <c r="O227" s="50">
        <v>0.86699999999999999</v>
      </c>
      <c r="P227" s="50">
        <v>0.89</v>
      </c>
      <c r="Q227" s="50">
        <v>0.89900000000000002</v>
      </c>
      <c r="R227" s="50">
        <v>0.89900000000000002</v>
      </c>
      <c r="S227" s="50">
        <v>0.879</v>
      </c>
      <c r="T227" s="50">
        <v>0.89700000000000002</v>
      </c>
      <c r="U227" s="50">
        <v>0.876</v>
      </c>
      <c r="V227" s="50">
        <v>0.875</v>
      </c>
      <c r="W227" s="50">
        <v>0.85799999999999998</v>
      </c>
      <c r="X227" s="51">
        <v>0.80700000000000005</v>
      </c>
    </row>
    <row r="228" spans="1:24" ht="20.45">
      <c r="A228" s="33" t="s">
        <v>63</v>
      </c>
      <c r="B228" s="34" t="s">
        <v>424</v>
      </c>
      <c r="C228" s="34" t="s">
        <v>934</v>
      </c>
      <c r="D228" s="35" t="s">
        <v>427</v>
      </c>
      <c r="E228" s="36">
        <v>2025</v>
      </c>
      <c r="F228" s="37" t="s">
        <v>113</v>
      </c>
      <c r="G228" s="38" t="s">
        <v>426</v>
      </c>
      <c r="H228" s="49">
        <v>0.26700000000000002</v>
      </c>
      <c r="I228" s="50">
        <v>0.27100000000000002</v>
      </c>
      <c r="J228" s="50">
        <v>0.307</v>
      </c>
      <c r="K228" s="50">
        <v>0.316</v>
      </c>
      <c r="L228" s="50">
        <v>0.43</v>
      </c>
      <c r="M228" s="50">
        <v>0.28000000000000003</v>
      </c>
      <c r="N228" s="50">
        <v>0.27600000000000002</v>
      </c>
      <c r="O228" s="50">
        <v>0.28299999999999997</v>
      </c>
      <c r="P228" s="50">
        <v>0.219</v>
      </c>
      <c r="Q228" s="50">
        <v>0.19</v>
      </c>
      <c r="R228" s="50">
        <v>0.192</v>
      </c>
      <c r="S228" s="50">
        <v>0.255</v>
      </c>
      <c r="T228" s="50">
        <v>0.19500000000000001</v>
      </c>
      <c r="U228" s="50">
        <v>0.25900000000000001</v>
      </c>
      <c r="V228" s="50">
        <v>0.25800000000000001</v>
      </c>
      <c r="W228" s="50">
        <v>0.313</v>
      </c>
      <c r="X228" s="51">
        <v>0.56699999999999995</v>
      </c>
    </row>
    <row r="229" spans="1:24" ht="20.45">
      <c r="A229" s="33" t="s">
        <v>63</v>
      </c>
      <c r="B229" s="34" t="s">
        <v>428</v>
      </c>
      <c r="C229" s="34">
        <v>2025</v>
      </c>
      <c r="D229" s="35" t="s">
        <v>429</v>
      </c>
      <c r="E229" s="36">
        <v>2025</v>
      </c>
      <c r="F229" s="37" t="s">
        <v>110</v>
      </c>
      <c r="G229" s="38" t="s">
        <v>430</v>
      </c>
      <c r="H229" s="42">
        <v>1455639</v>
      </c>
      <c r="I229" s="43">
        <v>17553</v>
      </c>
      <c r="J229" s="43">
        <v>20264</v>
      </c>
      <c r="K229" s="43">
        <v>38121</v>
      </c>
      <c r="L229" s="43">
        <v>12907</v>
      </c>
      <c r="M229" s="43">
        <v>47508</v>
      </c>
      <c r="N229" s="43">
        <v>135643</v>
      </c>
      <c r="O229" s="43">
        <v>774986</v>
      </c>
      <c r="P229" s="43">
        <v>31269</v>
      </c>
      <c r="Q229" s="43">
        <v>63245</v>
      </c>
      <c r="R229" s="43">
        <v>23608</v>
      </c>
      <c r="S229" s="43">
        <v>133028</v>
      </c>
      <c r="T229" s="43">
        <v>71511</v>
      </c>
      <c r="U229" s="43">
        <v>29318</v>
      </c>
      <c r="V229" s="43">
        <v>46071</v>
      </c>
      <c r="W229" s="43">
        <v>2799</v>
      </c>
      <c r="X229" s="44">
        <v>7808</v>
      </c>
    </row>
    <row r="230" spans="1:24" ht="20.45">
      <c r="A230" s="33" t="s">
        <v>63</v>
      </c>
      <c r="B230" s="34" t="s">
        <v>428</v>
      </c>
      <c r="C230" s="34">
        <v>2024</v>
      </c>
      <c r="D230" s="35" t="s">
        <v>431</v>
      </c>
      <c r="E230" s="36">
        <v>2024</v>
      </c>
      <c r="F230" s="37" t="s">
        <v>110</v>
      </c>
      <c r="G230" s="38" t="s">
        <v>430</v>
      </c>
      <c r="H230" s="42">
        <v>1386099</v>
      </c>
      <c r="I230" s="43">
        <v>17399</v>
      </c>
      <c r="J230" s="43">
        <v>19014</v>
      </c>
      <c r="K230" s="43">
        <v>37191</v>
      </c>
      <c r="L230" s="43">
        <v>12651</v>
      </c>
      <c r="M230" s="43">
        <v>46637</v>
      </c>
      <c r="N230" s="43">
        <v>132613</v>
      </c>
      <c r="O230" s="43">
        <v>728436</v>
      </c>
      <c r="P230" s="43">
        <v>29641</v>
      </c>
      <c r="Q230" s="43">
        <v>61037</v>
      </c>
      <c r="R230" s="43">
        <v>23615</v>
      </c>
      <c r="S230" s="43">
        <v>132477</v>
      </c>
      <c r="T230" s="43">
        <v>62494</v>
      </c>
      <c r="U230" s="43">
        <v>28879</v>
      </c>
      <c r="V230" s="43">
        <v>44272</v>
      </c>
      <c r="W230" s="43">
        <v>2309</v>
      </c>
      <c r="X230" s="44">
        <v>7434</v>
      </c>
    </row>
    <row r="231" spans="1:24" ht="20.45">
      <c r="A231" s="33" t="s">
        <v>63</v>
      </c>
      <c r="B231" s="34" t="s">
        <v>428</v>
      </c>
      <c r="C231" s="34">
        <v>2023</v>
      </c>
      <c r="D231" s="35" t="s">
        <v>432</v>
      </c>
      <c r="E231" s="36">
        <v>2023</v>
      </c>
      <c r="F231" s="37" t="s">
        <v>110</v>
      </c>
      <c r="G231" s="38" t="s">
        <v>430</v>
      </c>
      <c r="H231" s="42">
        <v>1341448</v>
      </c>
      <c r="I231" s="43">
        <v>17157</v>
      </c>
      <c r="J231" s="43">
        <v>18806</v>
      </c>
      <c r="K231" s="43">
        <v>37660</v>
      </c>
      <c r="L231" s="43">
        <v>12540</v>
      </c>
      <c r="M231" s="43">
        <v>45656</v>
      </c>
      <c r="N231" s="43">
        <v>131482</v>
      </c>
      <c r="O231" s="43">
        <v>692639</v>
      </c>
      <c r="P231" s="43">
        <v>28640</v>
      </c>
      <c r="Q231" s="43">
        <v>59312</v>
      </c>
      <c r="R231" s="43">
        <v>22963</v>
      </c>
      <c r="S231" s="43">
        <v>131173</v>
      </c>
      <c r="T231" s="43">
        <v>61262</v>
      </c>
      <c r="U231" s="43">
        <v>28868</v>
      </c>
      <c r="V231" s="43">
        <v>43658</v>
      </c>
      <c r="W231" s="43">
        <v>2476</v>
      </c>
      <c r="X231" s="44">
        <v>7156</v>
      </c>
    </row>
    <row r="232" spans="1:24" ht="20.45">
      <c r="A232" s="33" t="s">
        <v>63</v>
      </c>
      <c r="B232" s="34" t="s">
        <v>428</v>
      </c>
      <c r="C232" s="34">
        <v>2022</v>
      </c>
      <c r="D232" s="35" t="s">
        <v>433</v>
      </c>
      <c r="E232" s="36">
        <v>2022</v>
      </c>
      <c r="F232" s="37" t="s">
        <v>110</v>
      </c>
      <c r="G232" s="38" t="s">
        <v>430</v>
      </c>
      <c r="H232" s="42">
        <v>1304147</v>
      </c>
      <c r="I232" s="43">
        <v>16910</v>
      </c>
      <c r="J232" s="43">
        <v>18460</v>
      </c>
      <c r="K232" s="43">
        <v>38341</v>
      </c>
      <c r="L232" s="43">
        <v>12613</v>
      </c>
      <c r="M232" s="43">
        <v>45218</v>
      </c>
      <c r="N232" s="43">
        <v>131302</v>
      </c>
      <c r="O232" s="43">
        <v>662600</v>
      </c>
      <c r="P232" s="43">
        <v>27308</v>
      </c>
      <c r="Q232" s="43">
        <v>58255</v>
      </c>
      <c r="R232" s="43">
        <v>22453</v>
      </c>
      <c r="S232" s="43">
        <v>130060</v>
      </c>
      <c r="T232" s="43">
        <v>60920</v>
      </c>
      <c r="U232" s="43">
        <v>27969</v>
      </c>
      <c r="V232" s="43">
        <v>42363</v>
      </c>
      <c r="W232" s="43">
        <v>2565</v>
      </c>
      <c r="X232" s="44">
        <v>6810</v>
      </c>
    </row>
    <row r="233" spans="1:24" ht="20.45">
      <c r="A233" s="33" t="s">
        <v>63</v>
      </c>
      <c r="B233" s="34" t="s">
        <v>428</v>
      </c>
      <c r="C233" s="34">
        <v>2021</v>
      </c>
      <c r="D233" s="35" t="s">
        <v>434</v>
      </c>
      <c r="E233" s="36">
        <v>2021</v>
      </c>
      <c r="F233" s="37" t="s">
        <v>110</v>
      </c>
      <c r="G233" s="38" t="s">
        <v>430</v>
      </c>
      <c r="H233" s="42">
        <v>1294701</v>
      </c>
      <c r="I233" s="43">
        <v>17558</v>
      </c>
      <c r="J233" s="43">
        <v>19274</v>
      </c>
      <c r="K233" s="43">
        <v>39637</v>
      </c>
      <c r="L233" s="43">
        <v>13278</v>
      </c>
      <c r="M233" s="43">
        <v>45565</v>
      </c>
      <c r="N233" s="43">
        <v>133976</v>
      </c>
      <c r="O233" s="43">
        <v>643447</v>
      </c>
      <c r="P233" s="43">
        <v>27088</v>
      </c>
      <c r="Q233" s="43">
        <v>59609</v>
      </c>
      <c r="R233" s="43">
        <v>22993</v>
      </c>
      <c r="S233" s="43">
        <v>130787</v>
      </c>
      <c r="T233" s="43">
        <v>61761</v>
      </c>
      <c r="U233" s="43">
        <v>27571</v>
      </c>
      <c r="V233" s="43">
        <v>42101</v>
      </c>
      <c r="W233" s="43">
        <v>2870</v>
      </c>
      <c r="X233" s="44">
        <v>7186</v>
      </c>
    </row>
    <row r="234" spans="1:24" ht="40.9">
      <c r="A234" s="33" t="s">
        <v>65</v>
      </c>
      <c r="B234" s="34" t="s">
        <v>435</v>
      </c>
      <c r="C234" s="34" t="s">
        <v>935</v>
      </c>
      <c r="D234" s="35" t="s">
        <v>436</v>
      </c>
      <c r="E234" s="36">
        <v>2025</v>
      </c>
      <c r="F234" s="37" t="s">
        <v>110</v>
      </c>
      <c r="G234" s="38" t="s">
        <v>437</v>
      </c>
      <c r="H234" s="42">
        <v>2239224</v>
      </c>
      <c r="I234" s="43">
        <v>35384</v>
      </c>
      <c r="J234" s="43">
        <v>49785</v>
      </c>
      <c r="K234" s="43">
        <v>72818</v>
      </c>
      <c r="L234" s="43">
        <v>35461</v>
      </c>
      <c r="M234" s="43">
        <v>119096</v>
      </c>
      <c r="N234" s="43">
        <v>207433</v>
      </c>
      <c r="O234" s="43">
        <v>724598</v>
      </c>
      <c r="P234" s="43">
        <v>105164</v>
      </c>
      <c r="Q234" s="43">
        <v>131977</v>
      </c>
      <c r="R234" s="43">
        <v>74949</v>
      </c>
      <c r="S234" s="43">
        <v>226841</v>
      </c>
      <c r="T234" s="43">
        <v>215314</v>
      </c>
      <c r="U234" s="43">
        <v>58997</v>
      </c>
      <c r="V234" s="43">
        <v>139882</v>
      </c>
      <c r="W234" s="43">
        <v>15396</v>
      </c>
      <c r="X234" s="44">
        <v>26129</v>
      </c>
    </row>
    <row r="235" spans="1:24" ht="20.45">
      <c r="A235" s="33" t="s">
        <v>65</v>
      </c>
      <c r="B235" s="34" t="s">
        <v>435</v>
      </c>
      <c r="C235" s="34" t="s">
        <v>936</v>
      </c>
      <c r="D235" s="35" t="s">
        <v>438</v>
      </c>
      <c r="E235" s="36">
        <v>2025</v>
      </c>
      <c r="F235" s="37" t="s">
        <v>110</v>
      </c>
      <c r="G235" s="38" t="s">
        <v>437</v>
      </c>
      <c r="H235" s="42">
        <v>363027</v>
      </c>
      <c r="I235" s="43">
        <v>5457</v>
      </c>
      <c r="J235" s="43">
        <v>5799</v>
      </c>
      <c r="K235" s="43">
        <v>6598</v>
      </c>
      <c r="L235" s="43">
        <v>5700</v>
      </c>
      <c r="M235" s="43">
        <v>20304</v>
      </c>
      <c r="N235" s="43">
        <v>36149</v>
      </c>
      <c r="O235" s="43">
        <v>98384</v>
      </c>
      <c r="P235" s="43">
        <v>27526</v>
      </c>
      <c r="Q235" s="43">
        <v>23931</v>
      </c>
      <c r="R235" s="43">
        <v>14133</v>
      </c>
      <c r="S235" s="43">
        <v>48843</v>
      </c>
      <c r="T235" s="43">
        <v>28517</v>
      </c>
      <c r="U235" s="43">
        <v>7110</v>
      </c>
      <c r="V235" s="43">
        <v>29831</v>
      </c>
      <c r="W235" s="43">
        <v>1577</v>
      </c>
      <c r="X235" s="44">
        <v>3168</v>
      </c>
    </row>
    <row r="236" spans="1:24" ht="40.9">
      <c r="A236" s="33" t="s">
        <v>65</v>
      </c>
      <c r="B236" s="34" t="s">
        <v>435</v>
      </c>
      <c r="C236" s="34" t="s">
        <v>937</v>
      </c>
      <c r="D236" s="35" t="s">
        <v>439</v>
      </c>
      <c r="E236" s="36">
        <v>2025</v>
      </c>
      <c r="F236" s="37" t="s">
        <v>440</v>
      </c>
      <c r="G236" s="38" t="s">
        <v>437</v>
      </c>
      <c r="H236" s="60">
        <v>1108.0999999999999</v>
      </c>
      <c r="I236" s="65">
        <v>1341.9</v>
      </c>
      <c r="J236" s="65">
        <v>1211.5999999999999</v>
      </c>
      <c r="K236" s="65">
        <v>1008.4</v>
      </c>
      <c r="L236" s="65">
        <v>1105.2</v>
      </c>
      <c r="M236" s="65">
        <v>1339.3</v>
      </c>
      <c r="N236" s="65">
        <v>1016.7</v>
      </c>
      <c r="O236" s="65">
        <v>855.4</v>
      </c>
      <c r="P236" s="65">
        <v>1017.8</v>
      </c>
      <c r="Q236" s="65">
        <v>1117.4000000000001</v>
      </c>
      <c r="R236" s="65">
        <v>1430.7</v>
      </c>
      <c r="S236" s="65">
        <v>1341.8</v>
      </c>
      <c r="T236" s="65">
        <v>2078.5</v>
      </c>
      <c r="U236" s="65">
        <v>1424</v>
      </c>
      <c r="V236" s="65">
        <v>1525.9</v>
      </c>
      <c r="W236" s="65">
        <v>1415.8</v>
      </c>
      <c r="X236" s="66">
        <v>1418.4</v>
      </c>
    </row>
    <row r="237" spans="1:24" ht="40.9">
      <c r="A237" s="33" t="s">
        <v>65</v>
      </c>
      <c r="B237" s="34" t="s">
        <v>435</v>
      </c>
      <c r="C237" s="34" t="s">
        <v>938</v>
      </c>
      <c r="D237" s="35" t="s">
        <v>441</v>
      </c>
      <c r="E237" s="36">
        <v>2025</v>
      </c>
      <c r="F237" s="37" t="s">
        <v>440</v>
      </c>
      <c r="G237" s="38" t="s">
        <v>437</v>
      </c>
      <c r="H237" s="60">
        <v>179.7</v>
      </c>
      <c r="I237" s="65">
        <v>206.9</v>
      </c>
      <c r="J237" s="65">
        <v>141.1</v>
      </c>
      <c r="K237" s="65">
        <v>91.4</v>
      </c>
      <c r="L237" s="65">
        <v>177.6</v>
      </c>
      <c r="M237" s="65">
        <v>228.3</v>
      </c>
      <c r="N237" s="65">
        <v>177.2</v>
      </c>
      <c r="O237" s="65">
        <v>116.1</v>
      </c>
      <c r="P237" s="65">
        <v>266.39999999999998</v>
      </c>
      <c r="Q237" s="65">
        <v>202.6</v>
      </c>
      <c r="R237" s="65">
        <v>269.8</v>
      </c>
      <c r="S237" s="65">
        <v>288.89999999999998</v>
      </c>
      <c r="T237" s="65">
        <v>275.3</v>
      </c>
      <c r="U237" s="65">
        <v>171.6</v>
      </c>
      <c r="V237" s="65">
        <v>325.39999999999998</v>
      </c>
      <c r="W237" s="65">
        <v>145</v>
      </c>
      <c r="X237" s="66">
        <v>172</v>
      </c>
    </row>
    <row r="238" spans="1:24" ht="40.9">
      <c r="A238" s="33" t="s">
        <v>65</v>
      </c>
      <c r="B238" s="34" t="s">
        <v>435</v>
      </c>
      <c r="C238" s="34" t="s">
        <v>939</v>
      </c>
      <c r="D238" s="35" t="s">
        <v>442</v>
      </c>
      <c r="E238" s="36">
        <v>2025</v>
      </c>
      <c r="F238" s="37" t="s">
        <v>440</v>
      </c>
      <c r="G238" s="38" t="s">
        <v>437</v>
      </c>
      <c r="H238" s="60">
        <v>1287.8</v>
      </c>
      <c r="I238" s="65">
        <v>1548.8</v>
      </c>
      <c r="J238" s="65">
        <v>1352.7</v>
      </c>
      <c r="K238" s="65">
        <v>1099.8</v>
      </c>
      <c r="L238" s="65">
        <v>1282.8</v>
      </c>
      <c r="M238" s="65">
        <v>1567.6</v>
      </c>
      <c r="N238" s="65">
        <v>1193.9000000000001</v>
      </c>
      <c r="O238" s="65">
        <v>971.5</v>
      </c>
      <c r="P238" s="65">
        <v>1284.2</v>
      </c>
      <c r="Q238" s="65">
        <v>1320.1</v>
      </c>
      <c r="R238" s="65">
        <v>1700.4</v>
      </c>
      <c r="S238" s="65">
        <v>1630.7</v>
      </c>
      <c r="T238" s="65">
        <v>2353.8000000000002</v>
      </c>
      <c r="U238" s="65">
        <v>1595.7</v>
      </c>
      <c r="V238" s="65">
        <v>1851.3</v>
      </c>
      <c r="W238" s="65">
        <v>1560.8</v>
      </c>
      <c r="X238" s="66">
        <v>1590.4</v>
      </c>
    </row>
    <row r="239" spans="1:24" ht="20.45">
      <c r="A239" s="33" t="s">
        <v>65</v>
      </c>
      <c r="B239" s="34" t="s">
        <v>443</v>
      </c>
      <c r="C239" s="34" t="s">
        <v>940</v>
      </c>
      <c r="D239" s="35" t="s">
        <v>444</v>
      </c>
      <c r="E239" s="36"/>
      <c r="F239" s="37" t="s">
        <v>445</v>
      </c>
      <c r="G239" s="38" t="s">
        <v>437</v>
      </c>
      <c r="H239" s="39"/>
      <c r="I239" s="40">
        <v>1</v>
      </c>
      <c r="J239" s="40">
        <v>1</v>
      </c>
      <c r="K239" s="40">
        <v>6</v>
      </c>
      <c r="L239" s="40">
        <v>5</v>
      </c>
      <c r="M239" s="40">
        <v>9</v>
      </c>
      <c r="N239" s="40">
        <v>23</v>
      </c>
      <c r="O239" s="40">
        <v>38</v>
      </c>
      <c r="P239" s="40">
        <v>15</v>
      </c>
      <c r="Q239" s="40">
        <v>13</v>
      </c>
      <c r="R239" s="40">
        <v>7</v>
      </c>
      <c r="S239" s="40">
        <v>22</v>
      </c>
      <c r="T239" s="40">
        <v>22</v>
      </c>
      <c r="U239" s="40">
        <v>9</v>
      </c>
      <c r="V239" s="40">
        <v>20</v>
      </c>
      <c r="W239" s="40">
        <v>5</v>
      </c>
      <c r="X239" s="41">
        <v>6</v>
      </c>
    </row>
    <row r="240" spans="1:24" ht="20.45">
      <c r="A240" s="33" t="s">
        <v>65</v>
      </c>
      <c r="B240" s="34" t="s">
        <v>443</v>
      </c>
      <c r="C240" s="34" t="s">
        <v>941</v>
      </c>
      <c r="D240" s="35" t="s">
        <v>446</v>
      </c>
      <c r="E240" s="36"/>
      <c r="F240" s="37" t="s">
        <v>445</v>
      </c>
      <c r="G240" s="38" t="s">
        <v>437</v>
      </c>
      <c r="H240" s="39"/>
      <c r="I240" s="40">
        <v>5</v>
      </c>
      <c r="J240" s="40">
        <v>3</v>
      </c>
      <c r="K240" s="40">
        <v>13</v>
      </c>
      <c r="L240" s="40">
        <v>5</v>
      </c>
      <c r="M240" s="40">
        <v>2</v>
      </c>
      <c r="N240" s="40">
        <v>14</v>
      </c>
      <c r="O240" s="40">
        <v>21</v>
      </c>
      <c r="P240" s="40">
        <v>8</v>
      </c>
      <c r="Q240" s="40">
        <v>4</v>
      </c>
      <c r="R240" s="40">
        <v>2</v>
      </c>
      <c r="S240" s="40">
        <v>9</v>
      </c>
      <c r="T240" s="40">
        <v>6</v>
      </c>
      <c r="U240" s="40">
        <v>4</v>
      </c>
      <c r="V240" s="40">
        <v>8</v>
      </c>
      <c r="W240" s="40">
        <v>1</v>
      </c>
      <c r="X240" s="41">
        <v>3</v>
      </c>
    </row>
    <row r="241" spans="1:24" ht="39.6">
      <c r="A241" s="33" t="s">
        <v>65</v>
      </c>
      <c r="B241" s="34" t="s">
        <v>447</v>
      </c>
      <c r="C241" s="34" t="s">
        <v>942</v>
      </c>
      <c r="D241" s="35" t="s">
        <v>448</v>
      </c>
      <c r="E241" s="36" t="s">
        <v>102</v>
      </c>
      <c r="F241" s="37" t="s">
        <v>449</v>
      </c>
      <c r="G241" s="38" t="s">
        <v>450</v>
      </c>
      <c r="H241" s="42">
        <v>40082</v>
      </c>
      <c r="I241" s="43">
        <v>265</v>
      </c>
      <c r="J241" s="43">
        <v>165</v>
      </c>
      <c r="K241" s="43">
        <v>716</v>
      </c>
      <c r="L241" s="43">
        <v>321</v>
      </c>
      <c r="M241" s="43">
        <v>946</v>
      </c>
      <c r="N241" s="43">
        <v>3920</v>
      </c>
      <c r="O241" s="43">
        <v>20779</v>
      </c>
      <c r="P241" s="43">
        <v>2374</v>
      </c>
      <c r="Q241" s="43">
        <v>1667</v>
      </c>
      <c r="R241" s="43">
        <v>1645</v>
      </c>
      <c r="S241" s="43">
        <v>3332</v>
      </c>
      <c r="T241" s="43">
        <v>1458</v>
      </c>
      <c r="U241" s="43">
        <v>674</v>
      </c>
      <c r="V241" s="43">
        <v>1441</v>
      </c>
      <c r="W241" s="43">
        <v>204</v>
      </c>
      <c r="X241" s="44">
        <v>175</v>
      </c>
    </row>
    <row r="242" spans="1:24" ht="40.9">
      <c r="A242" s="33" t="s">
        <v>65</v>
      </c>
      <c r="B242" s="34" t="s">
        <v>447</v>
      </c>
      <c r="C242" s="34" t="s">
        <v>943</v>
      </c>
      <c r="D242" s="35" t="s">
        <v>451</v>
      </c>
      <c r="E242" s="36" t="s">
        <v>102</v>
      </c>
      <c r="F242" s="37" t="s">
        <v>113</v>
      </c>
      <c r="G242" s="38" t="s">
        <v>450</v>
      </c>
      <c r="H242" s="49"/>
      <c r="I242" s="50">
        <v>6.6114465346040598E-3</v>
      </c>
      <c r="J242" s="50">
        <v>4.1165610498478103E-3</v>
      </c>
      <c r="K242" s="50">
        <v>1.7863380070854699E-2</v>
      </c>
      <c r="L242" s="50">
        <v>8.00858240606756E-3</v>
      </c>
      <c r="M242" s="50">
        <v>2.3601616685794101E-2</v>
      </c>
      <c r="N242" s="50">
        <v>9.7799511002444994E-2</v>
      </c>
      <c r="O242" s="50">
        <v>0.51841225487750098</v>
      </c>
      <c r="P242" s="50">
        <v>5.92285814081134E-2</v>
      </c>
      <c r="Q242" s="50">
        <v>4.1589741030886702E-2</v>
      </c>
      <c r="R242" s="50">
        <v>4.1040866224240302E-2</v>
      </c>
      <c r="S242" s="50">
        <v>8.3129584352078206E-2</v>
      </c>
      <c r="T242" s="50">
        <v>3.6375430367746098E-2</v>
      </c>
      <c r="U242" s="50">
        <v>1.68155281672571E-2</v>
      </c>
      <c r="V242" s="50">
        <v>3.5951299835337597E-2</v>
      </c>
      <c r="W242" s="50">
        <v>5.0895663889027496E-3</v>
      </c>
      <c r="X242" s="51">
        <v>4.3660495983234397E-3</v>
      </c>
    </row>
    <row r="243" spans="1:24" ht="39.6">
      <c r="A243" s="33" t="s">
        <v>65</v>
      </c>
      <c r="B243" s="34" t="s">
        <v>452</v>
      </c>
      <c r="C243" s="34" t="s">
        <v>453</v>
      </c>
      <c r="D243" s="35" t="s">
        <v>453</v>
      </c>
      <c r="E243" s="36" t="s">
        <v>102</v>
      </c>
      <c r="F243" s="37" t="s">
        <v>454</v>
      </c>
      <c r="G243" s="38" t="s">
        <v>450</v>
      </c>
      <c r="H243" s="76">
        <v>20</v>
      </c>
      <c r="I243" s="61">
        <v>10.1</v>
      </c>
      <c r="J243" s="61">
        <v>4.0999999999999996</v>
      </c>
      <c r="K243" s="61">
        <v>10</v>
      </c>
      <c r="L243" s="61">
        <v>10</v>
      </c>
      <c r="M243" s="61">
        <v>10.8</v>
      </c>
      <c r="N243" s="61">
        <v>19.399999999999999</v>
      </c>
      <c r="O243" s="61">
        <v>24.7</v>
      </c>
      <c r="P243" s="61">
        <v>23.1</v>
      </c>
      <c r="Q243" s="61">
        <v>14.2</v>
      </c>
      <c r="R243" s="61">
        <v>31.5</v>
      </c>
      <c r="S243" s="61">
        <v>19.8</v>
      </c>
      <c r="T243" s="61">
        <v>14.1</v>
      </c>
      <c r="U243" s="61">
        <v>16.3</v>
      </c>
      <c r="V243" s="61">
        <v>15.8</v>
      </c>
      <c r="W243" s="61">
        <v>18.8</v>
      </c>
      <c r="X243" s="62">
        <v>9.6</v>
      </c>
    </row>
    <row r="244" spans="1:24" ht="79.150000000000006">
      <c r="A244" s="33" t="s">
        <v>65</v>
      </c>
      <c r="B244" s="34" t="s">
        <v>452</v>
      </c>
      <c r="C244" s="34" t="s">
        <v>944</v>
      </c>
      <c r="D244" s="35" t="s">
        <v>455</v>
      </c>
      <c r="E244" s="36" t="s">
        <v>102</v>
      </c>
      <c r="F244" s="37" t="s">
        <v>456</v>
      </c>
      <c r="G244" s="38" t="s">
        <v>450</v>
      </c>
      <c r="H244" s="76">
        <v>14.5</v>
      </c>
      <c r="I244" s="61">
        <v>8.5</v>
      </c>
      <c r="J244" s="61">
        <v>5.5</v>
      </c>
      <c r="K244" s="61">
        <v>6.4</v>
      </c>
      <c r="L244" s="61">
        <v>8</v>
      </c>
      <c r="M244" s="61">
        <v>9.1</v>
      </c>
      <c r="N244" s="61">
        <v>12.2</v>
      </c>
      <c r="O244" s="61">
        <v>17.600000000000001</v>
      </c>
      <c r="P244" s="61">
        <v>19.399999999999999</v>
      </c>
      <c r="Q244" s="61">
        <v>7.3</v>
      </c>
      <c r="R244" s="61">
        <v>21.4</v>
      </c>
      <c r="S244" s="61">
        <v>14.6</v>
      </c>
      <c r="T244" s="61">
        <v>17.5</v>
      </c>
      <c r="U244" s="61">
        <v>12.6</v>
      </c>
      <c r="V244" s="61">
        <v>9.1999999999999993</v>
      </c>
      <c r="W244" s="61">
        <v>6.4</v>
      </c>
      <c r="X244" s="62">
        <v>6.8</v>
      </c>
    </row>
    <row r="245" spans="1:24" ht="39.6">
      <c r="A245" s="33" t="s">
        <v>65</v>
      </c>
      <c r="B245" s="34" t="s">
        <v>457</v>
      </c>
      <c r="C245" s="34" t="s">
        <v>945</v>
      </c>
      <c r="D245" s="35" t="s">
        <v>458</v>
      </c>
      <c r="E245" s="36">
        <v>2023</v>
      </c>
      <c r="F245" s="37" t="s">
        <v>459</v>
      </c>
      <c r="G245" s="38" t="s">
        <v>460</v>
      </c>
      <c r="H245" s="42">
        <v>37397</v>
      </c>
      <c r="I245" s="43">
        <v>392</v>
      </c>
      <c r="J245" s="43">
        <v>530</v>
      </c>
      <c r="K245" s="43">
        <v>1299</v>
      </c>
      <c r="L245" s="43">
        <v>524</v>
      </c>
      <c r="M245" s="43">
        <v>1833</v>
      </c>
      <c r="N245" s="43">
        <v>3438</v>
      </c>
      <c r="O245" s="43">
        <v>15709</v>
      </c>
      <c r="P245" s="43">
        <v>1469</v>
      </c>
      <c r="Q245" s="43">
        <v>1703</v>
      </c>
      <c r="R245" s="43">
        <v>953</v>
      </c>
      <c r="S245" s="43">
        <v>3679</v>
      </c>
      <c r="T245" s="43">
        <v>2442</v>
      </c>
      <c r="U245" s="43">
        <v>956</v>
      </c>
      <c r="V245" s="43">
        <v>1694</v>
      </c>
      <c r="W245" s="43">
        <v>228</v>
      </c>
      <c r="X245" s="44">
        <v>548</v>
      </c>
    </row>
    <row r="246" spans="1:24" ht="20.45">
      <c r="A246" s="33" t="s">
        <v>65</v>
      </c>
      <c r="B246" s="34" t="s">
        <v>457</v>
      </c>
      <c r="C246" s="34" t="s">
        <v>462</v>
      </c>
      <c r="D246" s="35" t="s">
        <v>461</v>
      </c>
      <c r="E246" s="36">
        <v>2023</v>
      </c>
      <c r="F246" s="37" t="s">
        <v>462</v>
      </c>
      <c r="G246" s="38" t="s">
        <v>460</v>
      </c>
      <c r="H246" s="76">
        <v>1.9</v>
      </c>
      <c r="I246" s="61">
        <v>1.5</v>
      </c>
      <c r="J246" s="61">
        <v>1.3</v>
      </c>
      <c r="K246" s="61">
        <v>1.8</v>
      </c>
      <c r="L246" s="61">
        <v>1.6</v>
      </c>
      <c r="M246" s="61">
        <v>2.1</v>
      </c>
      <c r="N246" s="61">
        <v>1.7</v>
      </c>
      <c r="O246" s="61">
        <v>1.9</v>
      </c>
      <c r="P246" s="61">
        <v>1.5</v>
      </c>
      <c r="Q246" s="61">
        <v>1.5</v>
      </c>
      <c r="R246" s="61">
        <v>1.8</v>
      </c>
      <c r="S246" s="61">
        <v>2.2000000000000002</v>
      </c>
      <c r="T246" s="61">
        <v>2.4</v>
      </c>
      <c r="U246" s="61">
        <v>2.2999999999999998</v>
      </c>
      <c r="V246" s="61">
        <v>1.9</v>
      </c>
      <c r="W246" s="61">
        <v>2.1</v>
      </c>
      <c r="X246" s="62">
        <v>3</v>
      </c>
    </row>
    <row r="247" spans="1:24" ht="20.45">
      <c r="A247" s="33" t="s">
        <v>65</v>
      </c>
      <c r="B247" s="34" t="s">
        <v>463</v>
      </c>
      <c r="C247" s="34" t="s">
        <v>946</v>
      </c>
      <c r="D247" s="35" t="s">
        <v>464</v>
      </c>
      <c r="E247" s="36">
        <v>2023</v>
      </c>
      <c r="F247" s="37" t="s">
        <v>459</v>
      </c>
      <c r="G247" s="38" t="s">
        <v>460</v>
      </c>
      <c r="H247" s="42">
        <v>6532</v>
      </c>
      <c r="I247" s="43">
        <v>62</v>
      </c>
      <c r="J247" s="43">
        <v>88</v>
      </c>
      <c r="K247" s="43">
        <v>209</v>
      </c>
      <c r="L247" s="43">
        <v>66</v>
      </c>
      <c r="M247" s="43">
        <v>272</v>
      </c>
      <c r="N247" s="43">
        <v>489</v>
      </c>
      <c r="O247" s="43">
        <v>3444</v>
      </c>
      <c r="P247" s="43">
        <v>284</v>
      </c>
      <c r="Q247" s="43">
        <v>242</v>
      </c>
      <c r="R247" s="43">
        <v>116</v>
      </c>
      <c r="S247" s="43">
        <v>485</v>
      </c>
      <c r="T247" s="43">
        <v>291</v>
      </c>
      <c r="U247" s="43">
        <v>90</v>
      </c>
      <c r="V247" s="43">
        <v>275</v>
      </c>
      <c r="W247" s="43">
        <v>28</v>
      </c>
      <c r="X247" s="44">
        <v>91</v>
      </c>
    </row>
    <row r="248" spans="1:24" ht="20.45">
      <c r="A248" s="33" t="s">
        <v>65</v>
      </c>
      <c r="B248" s="34" t="s">
        <v>463</v>
      </c>
      <c r="C248" s="34" t="s">
        <v>947</v>
      </c>
      <c r="D248" s="35" t="s">
        <v>465</v>
      </c>
      <c r="E248" s="36">
        <v>2023</v>
      </c>
      <c r="F248" s="37" t="s">
        <v>466</v>
      </c>
      <c r="G248" s="38" t="s">
        <v>460</v>
      </c>
      <c r="H248" s="77">
        <v>3.29</v>
      </c>
      <c r="I248" s="63">
        <v>2.41</v>
      </c>
      <c r="J248" s="63">
        <v>2.2200000000000002</v>
      </c>
      <c r="K248" s="63">
        <v>2.95</v>
      </c>
      <c r="L248" s="63">
        <v>2.08</v>
      </c>
      <c r="M248" s="63">
        <v>3.17</v>
      </c>
      <c r="N248" s="63">
        <v>2.4500000000000002</v>
      </c>
      <c r="O248" s="63">
        <v>4.1399999999999997</v>
      </c>
      <c r="P248" s="63">
        <v>2.81</v>
      </c>
      <c r="Q248" s="63">
        <v>2.1</v>
      </c>
      <c r="R248" s="63">
        <v>2.2400000000000002</v>
      </c>
      <c r="S248" s="63">
        <v>2.89</v>
      </c>
      <c r="T248" s="63">
        <v>2.84</v>
      </c>
      <c r="U248" s="63">
        <v>2.2000000000000002</v>
      </c>
      <c r="V248" s="63">
        <v>3.05</v>
      </c>
      <c r="W248" s="63">
        <v>2.59</v>
      </c>
      <c r="X248" s="64">
        <v>5.0199999999999996</v>
      </c>
    </row>
    <row r="249" spans="1:24" ht="20.45">
      <c r="A249" s="33" t="s">
        <v>50</v>
      </c>
      <c r="B249" s="34" t="s">
        <v>89</v>
      </c>
      <c r="C249" s="34">
        <v>46199</v>
      </c>
      <c r="D249" s="35" t="s">
        <v>467</v>
      </c>
      <c r="E249" s="36" t="s">
        <v>468</v>
      </c>
      <c r="F249" s="37" t="s">
        <v>113</v>
      </c>
      <c r="G249" s="38" t="s">
        <v>164</v>
      </c>
      <c r="H249" s="49">
        <v>9.4E-2</v>
      </c>
      <c r="I249" s="50">
        <v>9.6000000000000002E-2</v>
      </c>
      <c r="J249" s="50">
        <v>0.08</v>
      </c>
      <c r="K249" s="50">
        <v>6.2E-2</v>
      </c>
      <c r="L249" s="50">
        <v>0.09</v>
      </c>
      <c r="M249" s="50">
        <v>9.1999999999999998E-2</v>
      </c>
      <c r="N249" s="50">
        <v>0.104</v>
      </c>
      <c r="O249" s="50">
        <v>9.4E-2</v>
      </c>
      <c r="P249" s="50">
        <v>0.104</v>
      </c>
      <c r="Q249" s="50">
        <v>0.104</v>
      </c>
      <c r="R249" s="50">
        <v>0.105</v>
      </c>
      <c r="S249" s="50">
        <v>0.104</v>
      </c>
      <c r="T249" s="50">
        <v>0.10100000000000001</v>
      </c>
      <c r="U249" s="50">
        <v>0.10199999999999999</v>
      </c>
      <c r="V249" s="50">
        <v>7.1999999999999995E-2</v>
      </c>
      <c r="W249" s="50">
        <v>4.5999999999999999E-2</v>
      </c>
      <c r="X249" s="51">
        <v>6.9000000000000006E-2</v>
      </c>
    </row>
    <row r="250" spans="1:24" ht="20.45">
      <c r="A250" s="33" t="s">
        <v>50</v>
      </c>
      <c r="B250" s="34" t="s">
        <v>89</v>
      </c>
      <c r="C250" s="34">
        <v>2025</v>
      </c>
      <c r="D250" s="35" t="s">
        <v>469</v>
      </c>
      <c r="E250" s="36">
        <v>2025</v>
      </c>
      <c r="F250" s="37" t="s">
        <v>113</v>
      </c>
      <c r="G250" s="38" t="s">
        <v>164</v>
      </c>
      <c r="H250" s="49">
        <v>8.5999999999999993E-2</v>
      </c>
      <c r="I250" s="50">
        <v>6.8000000000000005E-2</v>
      </c>
      <c r="J250" s="50">
        <v>9.0999999999999998E-2</v>
      </c>
      <c r="K250" s="50">
        <v>6.8000000000000005E-2</v>
      </c>
      <c r="L250" s="50">
        <v>9.1999999999999998E-2</v>
      </c>
      <c r="M250" s="50">
        <v>8.2000000000000003E-2</v>
      </c>
      <c r="N250" s="50">
        <v>8.5000000000000006E-2</v>
      </c>
      <c r="O250" s="50">
        <v>9.0999999999999998E-2</v>
      </c>
      <c r="P250" s="50">
        <v>8.3000000000000004E-2</v>
      </c>
      <c r="Q250" s="50">
        <v>7.3999999999999996E-2</v>
      </c>
      <c r="R250" s="50">
        <v>9.7000000000000003E-2</v>
      </c>
      <c r="S250" s="50">
        <v>9.4E-2</v>
      </c>
      <c r="T250" s="50">
        <v>8.7999999999999995E-2</v>
      </c>
      <c r="U250" s="50">
        <v>8.1000000000000003E-2</v>
      </c>
      <c r="V250" s="50">
        <v>5.8999999999999997E-2</v>
      </c>
      <c r="W250" s="50">
        <v>4.2000000000000003E-2</v>
      </c>
      <c r="X250" s="51">
        <v>5.8999999999999997E-2</v>
      </c>
    </row>
    <row r="251" spans="1:24" ht="20.45">
      <c r="A251" s="33" t="s">
        <v>50</v>
      </c>
      <c r="B251" s="34" t="s">
        <v>89</v>
      </c>
      <c r="C251" s="34">
        <v>2024</v>
      </c>
      <c r="D251" s="35" t="s">
        <v>470</v>
      </c>
      <c r="E251" s="36">
        <v>2024</v>
      </c>
      <c r="F251" s="37" t="s">
        <v>113</v>
      </c>
      <c r="G251" s="38" t="s">
        <v>164</v>
      </c>
      <c r="H251" s="49">
        <v>8.5000000000000006E-2</v>
      </c>
      <c r="I251" s="50">
        <v>7.5999999999999998E-2</v>
      </c>
      <c r="J251" s="50">
        <v>7.0000000000000007E-2</v>
      </c>
      <c r="K251" s="50">
        <v>8.4000000000000005E-2</v>
      </c>
      <c r="L251" s="50">
        <v>0.09</v>
      </c>
      <c r="M251" s="50">
        <v>8.2000000000000003E-2</v>
      </c>
      <c r="N251" s="50">
        <v>8.5000000000000006E-2</v>
      </c>
      <c r="O251" s="50">
        <v>8.8999999999999996E-2</v>
      </c>
      <c r="P251" s="50">
        <v>8.6999999999999994E-2</v>
      </c>
      <c r="Q251" s="50">
        <v>7.8E-2</v>
      </c>
      <c r="R251" s="50">
        <v>9.9000000000000005E-2</v>
      </c>
      <c r="S251" s="50">
        <v>8.5000000000000006E-2</v>
      </c>
      <c r="T251" s="50">
        <v>0.1</v>
      </c>
      <c r="U251" s="50">
        <v>0.08</v>
      </c>
      <c r="V251" s="50">
        <v>4.3999999999999997E-2</v>
      </c>
      <c r="W251" s="50">
        <v>4.8000000000000001E-2</v>
      </c>
      <c r="X251" s="51">
        <v>5.6000000000000001E-2</v>
      </c>
    </row>
    <row r="252" spans="1:24" ht="20.45">
      <c r="A252" s="33" t="s">
        <v>50</v>
      </c>
      <c r="B252" s="34" t="s">
        <v>89</v>
      </c>
      <c r="C252" s="34">
        <v>2023</v>
      </c>
      <c r="D252" s="35" t="s">
        <v>471</v>
      </c>
      <c r="E252" s="36">
        <v>2023</v>
      </c>
      <c r="F252" s="37" t="s">
        <v>113</v>
      </c>
      <c r="G252" s="38" t="s">
        <v>164</v>
      </c>
      <c r="H252" s="49">
        <v>8.6999999999999994E-2</v>
      </c>
      <c r="I252" s="50">
        <v>7.9000000000000001E-2</v>
      </c>
      <c r="J252" s="50">
        <v>6.7000000000000004E-2</v>
      </c>
      <c r="K252" s="50">
        <v>8.2000000000000003E-2</v>
      </c>
      <c r="L252" s="50">
        <v>9.1999999999999998E-2</v>
      </c>
      <c r="M252" s="50">
        <v>9.7000000000000003E-2</v>
      </c>
      <c r="N252" s="50">
        <v>8.5000000000000006E-2</v>
      </c>
      <c r="O252" s="50">
        <v>9.5000000000000001E-2</v>
      </c>
      <c r="P252" s="50">
        <v>8.5999999999999993E-2</v>
      </c>
      <c r="Q252" s="50">
        <v>8.2000000000000003E-2</v>
      </c>
      <c r="R252" s="50">
        <v>9.2999999999999999E-2</v>
      </c>
      <c r="S252" s="50">
        <v>0.08</v>
      </c>
      <c r="T252" s="50">
        <v>0.08</v>
      </c>
      <c r="U252" s="50">
        <v>8.4000000000000005E-2</v>
      </c>
      <c r="V252" s="50">
        <v>4.2000000000000003E-2</v>
      </c>
      <c r="W252" s="50">
        <v>5.0999999999999997E-2</v>
      </c>
      <c r="X252" s="51">
        <v>5.3999999999999999E-2</v>
      </c>
    </row>
    <row r="253" spans="1:24" ht="20.45">
      <c r="A253" s="33" t="s">
        <v>50</v>
      </c>
      <c r="B253" s="34" t="s">
        <v>89</v>
      </c>
      <c r="C253" s="34">
        <v>2022</v>
      </c>
      <c r="D253" s="35" t="s">
        <v>472</v>
      </c>
      <c r="E253" s="36">
        <v>2022</v>
      </c>
      <c r="F253" s="37" t="s">
        <v>113</v>
      </c>
      <c r="G253" s="38" t="s">
        <v>164</v>
      </c>
      <c r="H253" s="49">
        <v>7.9000000000000001E-2</v>
      </c>
      <c r="I253" s="50">
        <v>6.6000000000000003E-2</v>
      </c>
      <c r="J253" s="50">
        <v>8.7999999999999995E-2</v>
      </c>
      <c r="K253" s="50">
        <v>8.3000000000000004E-2</v>
      </c>
      <c r="L253" s="50">
        <v>7.9000000000000001E-2</v>
      </c>
      <c r="M253" s="50">
        <v>8.6999999999999994E-2</v>
      </c>
      <c r="N253" s="50">
        <v>8.1000000000000003E-2</v>
      </c>
      <c r="O253" s="50">
        <v>8.5999999999999993E-2</v>
      </c>
      <c r="P253" s="50">
        <v>7.0000000000000007E-2</v>
      </c>
      <c r="Q253" s="50">
        <v>6.6000000000000003E-2</v>
      </c>
      <c r="R253" s="50">
        <v>8.4000000000000005E-2</v>
      </c>
      <c r="S253" s="50">
        <v>7.1999999999999995E-2</v>
      </c>
      <c r="T253" s="50">
        <v>7.8E-2</v>
      </c>
      <c r="U253" s="50">
        <v>6.2E-2</v>
      </c>
      <c r="V253" s="50">
        <v>3.9E-2</v>
      </c>
      <c r="W253" s="50">
        <v>4.9000000000000002E-2</v>
      </c>
      <c r="X253" s="51">
        <v>4.5999999999999999E-2</v>
      </c>
    </row>
    <row r="254" spans="1:24" ht="20.45">
      <c r="A254" s="33" t="s">
        <v>50</v>
      </c>
      <c r="B254" s="34" t="s">
        <v>89</v>
      </c>
      <c r="C254" s="34">
        <v>2021</v>
      </c>
      <c r="D254" s="35" t="s">
        <v>473</v>
      </c>
      <c r="E254" s="36">
        <v>2021</v>
      </c>
      <c r="F254" s="37" t="s">
        <v>113</v>
      </c>
      <c r="G254" s="38" t="s">
        <v>164</v>
      </c>
      <c r="H254" s="49">
        <v>8.7999999999999995E-2</v>
      </c>
      <c r="I254" s="50">
        <v>5.7000000000000002E-2</v>
      </c>
      <c r="J254" s="50">
        <v>8.7999999999999995E-2</v>
      </c>
      <c r="K254" s="50">
        <v>9.4E-2</v>
      </c>
      <c r="L254" s="50">
        <v>9.1999999999999998E-2</v>
      </c>
      <c r="M254" s="50">
        <v>9.6000000000000002E-2</v>
      </c>
      <c r="N254" s="50">
        <v>9.0999999999999998E-2</v>
      </c>
      <c r="O254" s="50">
        <v>9.9000000000000005E-2</v>
      </c>
      <c r="P254" s="50">
        <v>8.7999999999999995E-2</v>
      </c>
      <c r="Q254" s="50">
        <v>6.9000000000000006E-2</v>
      </c>
      <c r="R254" s="50">
        <v>8.4000000000000005E-2</v>
      </c>
      <c r="S254" s="50">
        <v>7.9000000000000001E-2</v>
      </c>
      <c r="T254" s="50">
        <v>7.0999999999999994E-2</v>
      </c>
      <c r="U254" s="50">
        <v>8.4000000000000005E-2</v>
      </c>
      <c r="V254" s="50">
        <v>3.5999999999999997E-2</v>
      </c>
      <c r="W254" s="50">
        <v>4.4999999999999998E-2</v>
      </c>
      <c r="X254" s="51">
        <v>5.5E-2</v>
      </c>
    </row>
    <row r="255" spans="1:24" ht="20.45">
      <c r="A255" s="33" t="s">
        <v>50</v>
      </c>
      <c r="B255" s="34" t="s">
        <v>89</v>
      </c>
      <c r="C255" s="34">
        <v>2020</v>
      </c>
      <c r="D255" s="35" t="s">
        <v>474</v>
      </c>
      <c r="E255" s="36">
        <v>2020</v>
      </c>
      <c r="F255" s="37" t="s">
        <v>113</v>
      </c>
      <c r="G255" s="38" t="s">
        <v>164</v>
      </c>
      <c r="H255" s="49">
        <v>0.105</v>
      </c>
      <c r="I255" s="50">
        <v>7.2999999999999995E-2</v>
      </c>
      <c r="J255" s="50">
        <v>9.9000000000000005E-2</v>
      </c>
      <c r="K255" s="50">
        <v>0.112</v>
      </c>
      <c r="L255" s="50">
        <v>0.105</v>
      </c>
      <c r="M255" s="50">
        <v>0.124</v>
      </c>
      <c r="N255" s="50">
        <v>0.11700000000000001</v>
      </c>
      <c r="O255" s="50">
        <v>0.112</v>
      </c>
      <c r="P255" s="50">
        <v>0.108</v>
      </c>
      <c r="Q255" s="50">
        <v>8.5999999999999993E-2</v>
      </c>
      <c r="R255" s="50">
        <v>9.2999999999999999E-2</v>
      </c>
      <c r="S255" s="50">
        <v>9.8000000000000004E-2</v>
      </c>
      <c r="T255" s="50">
        <v>9.4E-2</v>
      </c>
      <c r="U255" s="50">
        <v>0.1</v>
      </c>
      <c r="V255" s="50">
        <v>6.0999999999999999E-2</v>
      </c>
      <c r="W255" s="50">
        <v>6.7000000000000004E-2</v>
      </c>
      <c r="X255" s="51">
        <v>6.9000000000000006E-2</v>
      </c>
    </row>
    <row r="256" spans="1:24" ht="20.45">
      <c r="A256" s="33" t="s">
        <v>50</v>
      </c>
      <c r="B256" s="34" t="s">
        <v>89</v>
      </c>
      <c r="C256" s="34">
        <v>2019</v>
      </c>
      <c r="D256" s="35" t="s">
        <v>475</v>
      </c>
      <c r="E256" s="36">
        <v>2019</v>
      </c>
      <c r="F256" s="37" t="s">
        <v>113</v>
      </c>
      <c r="G256" s="38" t="s">
        <v>164</v>
      </c>
      <c r="H256" s="49">
        <v>7.1999999999999995E-2</v>
      </c>
      <c r="I256" s="50">
        <v>6.5000000000000002E-2</v>
      </c>
      <c r="J256" s="50">
        <v>6.9000000000000006E-2</v>
      </c>
      <c r="K256" s="50">
        <v>7.9000000000000001E-2</v>
      </c>
      <c r="L256" s="50">
        <v>8.5999999999999993E-2</v>
      </c>
      <c r="M256" s="50">
        <v>6.9000000000000006E-2</v>
      </c>
      <c r="N256" s="50">
        <v>0.08</v>
      </c>
      <c r="O256" s="50">
        <v>7.5999999999999998E-2</v>
      </c>
      <c r="P256" s="50">
        <v>7.6999999999999999E-2</v>
      </c>
      <c r="Q256" s="50">
        <v>6.6000000000000003E-2</v>
      </c>
      <c r="R256" s="50">
        <v>7.4999999999999997E-2</v>
      </c>
      <c r="S256" s="50">
        <v>7.2999999999999995E-2</v>
      </c>
      <c r="T256" s="50">
        <v>7.0000000000000007E-2</v>
      </c>
      <c r="U256" s="50">
        <v>5.1999999999999998E-2</v>
      </c>
      <c r="V256" s="50">
        <v>3.5999999999999997E-2</v>
      </c>
      <c r="W256" s="50">
        <v>4.2000000000000003E-2</v>
      </c>
      <c r="X256" s="51">
        <v>3.5999999999999997E-2</v>
      </c>
    </row>
    <row r="257" spans="1:24" ht="20.45">
      <c r="A257" s="33" t="s">
        <v>50</v>
      </c>
      <c r="B257" s="34" t="s">
        <v>89</v>
      </c>
      <c r="C257" s="34">
        <v>2018</v>
      </c>
      <c r="D257" s="35" t="s">
        <v>476</v>
      </c>
      <c r="E257" s="36">
        <v>2018</v>
      </c>
      <c r="F257" s="37" t="s">
        <v>113</v>
      </c>
      <c r="G257" s="38" t="s">
        <v>164</v>
      </c>
      <c r="H257" s="49">
        <v>7.3999999999999996E-2</v>
      </c>
      <c r="I257" s="50">
        <v>7.5999999999999998E-2</v>
      </c>
      <c r="J257" s="50">
        <v>8.3000000000000004E-2</v>
      </c>
      <c r="K257" s="50">
        <v>8.6999999999999994E-2</v>
      </c>
      <c r="L257" s="50">
        <v>8.5999999999999993E-2</v>
      </c>
      <c r="M257" s="50">
        <v>7.3999999999999996E-2</v>
      </c>
      <c r="N257" s="50">
        <v>7.6999999999999999E-2</v>
      </c>
      <c r="O257" s="50">
        <v>7.6999999999999999E-2</v>
      </c>
      <c r="P257" s="50">
        <v>7.5999999999999998E-2</v>
      </c>
      <c r="Q257" s="50">
        <v>6.4000000000000001E-2</v>
      </c>
      <c r="R257" s="50">
        <v>8.5000000000000006E-2</v>
      </c>
      <c r="S257" s="50">
        <v>7.5999999999999998E-2</v>
      </c>
      <c r="T257" s="50">
        <v>7.2999999999999995E-2</v>
      </c>
      <c r="U257" s="50">
        <v>5.0999999999999997E-2</v>
      </c>
      <c r="V257" s="50">
        <v>3.5000000000000003E-2</v>
      </c>
      <c r="W257" s="50">
        <v>3.5000000000000003E-2</v>
      </c>
      <c r="X257" s="51">
        <v>3.5000000000000003E-2</v>
      </c>
    </row>
    <row r="258" spans="1:24" ht="20.45">
      <c r="A258" s="33" t="s">
        <v>50</v>
      </c>
      <c r="B258" s="34" t="s">
        <v>89</v>
      </c>
      <c r="C258" s="34">
        <v>2017</v>
      </c>
      <c r="D258" s="35" t="s">
        <v>477</v>
      </c>
      <c r="E258" s="36">
        <v>2017</v>
      </c>
      <c r="F258" s="37" t="s">
        <v>113</v>
      </c>
      <c r="G258" s="38" t="s">
        <v>164</v>
      </c>
      <c r="H258" s="49">
        <v>7.0000000000000007E-2</v>
      </c>
      <c r="I258" s="50">
        <v>6.6000000000000003E-2</v>
      </c>
      <c r="J258" s="50">
        <v>7.2999999999999995E-2</v>
      </c>
      <c r="K258" s="50">
        <v>8.6999999999999994E-2</v>
      </c>
      <c r="L258" s="50">
        <v>7.3999999999999996E-2</v>
      </c>
      <c r="M258" s="50">
        <v>0.08</v>
      </c>
      <c r="N258" s="50">
        <v>7.3999999999999996E-2</v>
      </c>
      <c r="O258" s="50">
        <v>7.0000000000000007E-2</v>
      </c>
      <c r="P258" s="50">
        <v>6.8000000000000005E-2</v>
      </c>
      <c r="Q258" s="50">
        <v>5.7000000000000002E-2</v>
      </c>
      <c r="R258" s="50">
        <v>7.6999999999999999E-2</v>
      </c>
      <c r="S258" s="50">
        <v>7.8E-2</v>
      </c>
      <c r="T258" s="50">
        <v>8.4000000000000005E-2</v>
      </c>
      <c r="U258" s="50">
        <v>4.7E-2</v>
      </c>
      <c r="V258" s="50">
        <v>3.7999999999999999E-2</v>
      </c>
      <c r="W258" s="50">
        <v>3.2000000000000001E-2</v>
      </c>
      <c r="X258" s="51">
        <v>3.4000000000000002E-2</v>
      </c>
    </row>
    <row r="259" spans="1:24" ht="20.45">
      <c r="A259" s="33" t="s">
        <v>50</v>
      </c>
      <c r="B259" s="34" t="s">
        <v>89</v>
      </c>
      <c r="C259" s="34">
        <v>2016</v>
      </c>
      <c r="D259" s="35" t="s">
        <v>478</v>
      </c>
      <c r="E259" s="36">
        <v>2016</v>
      </c>
      <c r="F259" s="37" t="s">
        <v>113</v>
      </c>
      <c r="G259" s="38" t="s">
        <v>164</v>
      </c>
      <c r="H259" s="49">
        <v>6.7000000000000004E-2</v>
      </c>
      <c r="I259" s="50">
        <v>5.8999999999999997E-2</v>
      </c>
      <c r="J259" s="50">
        <v>7.2999999999999995E-2</v>
      </c>
      <c r="K259" s="50">
        <v>8.1000000000000003E-2</v>
      </c>
      <c r="L259" s="50">
        <v>8.2000000000000003E-2</v>
      </c>
      <c r="M259" s="50">
        <v>7.8E-2</v>
      </c>
      <c r="N259" s="50">
        <v>7.3999999999999996E-2</v>
      </c>
      <c r="O259" s="50">
        <v>6.9000000000000006E-2</v>
      </c>
      <c r="P259" s="50">
        <v>6.5000000000000002E-2</v>
      </c>
      <c r="Q259" s="50">
        <v>5.0999999999999997E-2</v>
      </c>
      <c r="R259" s="50">
        <v>7.0999999999999994E-2</v>
      </c>
      <c r="S259" s="50">
        <v>7.2999999999999995E-2</v>
      </c>
      <c r="T259" s="50">
        <v>7.1999999999999995E-2</v>
      </c>
      <c r="U259" s="50">
        <v>4.5999999999999999E-2</v>
      </c>
      <c r="V259" s="50">
        <v>2.8000000000000001E-2</v>
      </c>
      <c r="W259" s="50">
        <v>2.9000000000000001E-2</v>
      </c>
      <c r="X259" s="51">
        <v>4.2999999999999997E-2</v>
      </c>
    </row>
    <row r="260" spans="1:24" ht="20.45">
      <c r="A260" s="33" t="s">
        <v>50</v>
      </c>
      <c r="B260" s="34" t="s">
        <v>89</v>
      </c>
      <c r="C260" s="34">
        <v>2015</v>
      </c>
      <c r="D260" s="35" t="s">
        <v>479</v>
      </c>
      <c r="E260" s="36">
        <v>2015</v>
      </c>
      <c r="F260" s="37" t="s">
        <v>113</v>
      </c>
      <c r="G260" s="38" t="s">
        <v>164</v>
      </c>
      <c r="H260" s="49">
        <v>6.3E-2</v>
      </c>
      <c r="I260" s="50">
        <v>5.6000000000000001E-2</v>
      </c>
      <c r="J260" s="50">
        <v>6.9000000000000006E-2</v>
      </c>
      <c r="K260" s="50">
        <v>6.9000000000000006E-2</v>
      </c>
      <c r="L260" s="50">
        <v>0.06</v>
      </c>
      <c r="M260" s="50">
        <v>7.8E-2</v>
      </c>
      <c r="N260" s="50">
        <v>7.0999999999999994E-2</v>
      </c>
      <c r="O260" s="50">
        <v>6.0999999999999999E-2</v>
      </c>
      <c r="P260" s="50">
        <v>5.7000000000000002E-2</v>
      </c>
      <c r="Q260" s="50">
        <v>6.0999999999999999E-2</v>
      </c>
      <c r="R260" s="50">
        <v>7.2999999999999995E-2</v>
      </c>
      <c r="S260" s="50">
        <v>7.9000000000000001E-2</v>
      </c>
      <c r="T260" s="50">
        <v>7.2999999999999995E-2</v>
      </c>
      <c r="U260" s="50">
        <v>4.7E-2</v>
      </c>
      <c r="V260" s="50">
        <v>3.3000000000000002E-2</v>
      </c>
      <c r="W260" s="50">
        <v>3.5000000000000003E-2</v>
      </c>
      <c r="X260" s="51">
        <v>3.6999999999999998E-2</v>
      </c>
    </row>
    <row r="261" spans="1:24" ht="20.45">
      <c r="A261" s="33" t="s">
        <v>50</v>
      </c>
      <c r="B261" s="34" t="s">
        <v>89</v>
      </c>
      <c r="C261" s="34">
        <v>46199</v>
      </c>
      <c r="D261" s="35" t="s">
        <v>480</v>
      </c>
      <c r="E261" s="36" t="s">
        <v>468</v>
      </c>
      <c r="F261" s="37" t="s">
        <v>113</v>
      </c>
      <c r="G261" s="38" t="s">
        <v>164</v>
      </c>
      <c r="H261" s="49">
        <v>8.6999999999999994E-2</v>
      </c>
      <c r="I261" s="50">
        <v>0.112</v>
      </c>
      <c r="J261" s="50">
        <v>9.0999999999999998E-2</v>
      </c>
      <c r="K261" s="50">
        <v>0.05</v>
      </c>
      <c r="L261" s="50">
        <v>0.08</v>
      </c>
      <c r="M261" s="50">
        <v>8.2000000000000003E-2</v>
      </c>
      <c r="N261" s="50">
        <v>9.7000000000000003E-2</v>
      </c>
      <c r="O261" s="50">
        <v>8.8999999999999996E-2</v>
      </c>
      <c r="P261" s="50">
        <v>7.6999999999999999E-2</v>
      </c>
      <c r="Q261" s="50">
        <v>9.1999999999999998E-2</v>
      </c>
      <c r="R261" s="50">
        <v>8.5000000000000006E-2</v>
      </c>
      <c r="S261" s="50">
        <v>9.7000000000000003E-2</v>
      </c>
      <c r="T261" s="50">
        <v>9.1999999999999998E-2</v>
      </c>
      <c r="U261" s="50">
        <v>8.8999999999999996E-2</v>
      </c>
      <c r="V261" s="50">
        <v>6.2E-2</v>
      </c>
      <c r="W261" s="50">
        <v>3.5000000000000003E-2</v>
      </c>
      <c r="X261" s="51">
        <v>4.7E-2</v>
      </c>
    </row>
    <row r="262" spans="1:24" ht="20.45">
      <c r="A262" s="33" t="s">
        <v>50</v>
      </c>
      <c r="B262" s="34" t="s">
        <v>89</v>
      </c>
      <c r="C262" s="34">
        <v>2025</v>
      </c>
      <c r="D262" s="35" t="s">
        <v>481</v>
      </c>
      <c r="E262" s="36">
        <v>2025</v>
      </c>
      <c r="F262" s="37" t="s">
        <v>113</v>
      </c>
      <c r="G262" s="38" t="s">
        <v>164</v>
      </c>
      <c r="H262" s="49">
        <v>0.08</v>
      </c>
      <c r="I262" s="50">
        <v>6.9000000000000006E-2</v>
      </c>
      <c r="J262" s="50">
        <v>8.7999999999999995E-2</v>
      </c>
      <c r="K262" s="50">
        <v>6.0999999999999999E-2</v>
      </c>
      <c r="L262" s="50">
        <v>8.5000000000000006E-2</v>
      </c>
      <c r="M262" s="50">
        <v>7.9000000000000001E-2</v>
      </c>
      <c r="N262" s="50">
        <v>7.9000000000000001E-2</v>
      </c>
      <c r="O262" s="50">
        <v>8.6999999999999994E-2</v>
      </c>
      <c r="P262" s="50">
        <v>7.1999999999999995E-2</v>
      </c>
      <c r="Q262" s="50">
        <v>6.3E-2</v>
      </c>
      <c r="R262" s="50">
        <v>8.5000000000000006E-2</v>
      </c>
      <c r="S262" s="50">
        <v>8.8999999999999996E-2</v>
      </c>
      <c r="T262" s="50">
        <v>0.08</v>
      </c>
      <c r="U262" s="50">
        <v>6.7000000000000004E-2</v>
      </c>
      <c r="V262" s="50">
        <v>5.7000000000000002E-2</v>
      </c>
      <c r="W262" s="50">
        <v>3.3000000000000002E-2</v>
      </c>
      <c r="X262" s="51">
        <v>0.05</v>
      </c>
    </row>
    <row r="263" spans="1:24" ht="20.45">
      <c r="A263" s="33" t="s">
        <v>50</v>
      </c>
      <c r="B263" s="34" t="s">
        <v>89</v>
      </c>
      <c r="C263" s="34">
        <v>2024</v>
      </c>
      <c r="D263" s="35" t="s">
        <v>482</v>
      </c>
      <c r="E263" s="36">
        <v>2024</v>
      </c>
      <c r="F263" s="37" t="s">
        <v>113</v>
      </c>
      <c r="G263" s="38" t="s">
        <v>164</v>
      </c>
      <c r="H263" s="49">
        <v>7.9000000000000001E-2</v>
      </c>
      <c r="I263" s="50">
        <v>0.08</v>
      </c>
      <c r="J263" s="50">
        <v>0.06</v>
      </c>
      <c r="K263" s="50">
        <v>7.8E-2</v>
      </c>
      <c r="L263" s="50">
        <v>8.5000000000000006E-2</v>
      </c>
      <c r="M263" s="50">
        <v>8.3000000000000004E-2</v>
      </c>
      <c r="N263" s="50">
        <v>0.08</v>
      </c>
      <c r="O263" s="50">
        <v>8.5000000000000006E-2</v>
      </c>
      <c r="P263" s="50">
        <v>7.3999999999999996E-2</v>
      </c>
      <c r="Q263" s="50">
        <v>6.3E-2</v>
      </c>
      <c r="R263" s="50">
        <v>9.6000000000000002E-2</v>
      </c>
      <c r="S263" s="50">
        <v>7.4999999999999997E-2</v>
      </c>
      <c r="T263" s="50">
        <v>8.7999999999999995E-2</v>
      </c>
      <c r="U263" s="50">
        <v>7.1999999999999995E-2</v>
      </c>
      <c r="V263" s="50">
        <v>3.9E-2</v>
      </c>
      <c r="W263" s="50">
        <v>4.2999999999999997E-2</v>
      </c>
      <c r="X263" s="51">
        <v>4.3999999999999997E-2</v>
      </c>
    </row>
    <row r="264" spans="1:24" ht="20.45">
      <c r="A264" s="33" t="s">
        <v>50</v>
      </c>
      <c r="B264" s="34" t="s">
        <v>89</v>
      </c>
      <c r="C264" s="34">
        <v>2023</v>
      </c>
      <c r="D264" s="35" t="s">
        <v>483</v>
      </c>
      <c r="E264" s="36">
        <v>2023</v>
      </c>
      <c r="F264" s="37" t="s">
        <v>113</v>
      </c>
      <c r="G264" s="38" t="s">
        <v>164</v>
      </c>
      <c r="H264" s="49">
        <v>8.4000000000000005E-2</v>
      </c>
      <c r="I264" s="50">
        <v>0.08</v>
      </c>
      <c r="J264" s="50">
        <v>7.3999999999999996E-2</v>
      </c>
      <c r="K264" s="50">
        <v>8.1000000000000003E-2</v>
      </c>
      <c r="L264" s="50">
        <v>8.1000000000000003E-2</v>
      </c>
      <c r="M264" s="50">
        <v>9.2999999999999999E-2</v>
      </c>
      <c r="N264" s="50">
        <v>8.2000000000000003E-2</v>
      </c>
      <c r="O264" s="50">
        <v>9.4E-2</v>
      </c>
      <c r="P264" s="50">
        <v>0.08</v>
      </c>
      <c r="Q264" s="50">
        <v>7.3999999999999996E-2</v>
      </c>
      <c r="R264" s="50">
        <v>7.5999999999999998E-2</v>
      </c>
      <c r="S264" s="50">
        <v>7.8E-2</v>
      </c>
      <c r="T264" s="50">
        <v>7.5999999999999998E-2</v>
      </c>
      <c r="U264" s="50">
        <v>7.3999999999999996E-2</v>
      </c>
      <c r="V264" s="50">
        <v>3.4000000000000002E-2</v>
      </c>
      <c r="W264" s="50">
        <v>4.5999999999999999E-2</v>
      </c>
      <c r="X264" s="51">
        <v>4.5999999999999999E-2</v>
      </c>
    </row>
    <row r="265" spans="1:24" ht="20.45">
      <c r="A265" s="33" t="s">
        <v>50</v>
      </c>
      <c r="B265" s="34" t="s">
        <v>89</v>
      </c>
      <c r="C265" s="34">
        <v>2022</v>
      </c>
      <c r="D265" s="35" t="s">
        <v>484</v>
      </c>
      <c r="E265" s="36">
        <v>2022</v>
      </c>
      <c r="F265" s="37" t="s">
        <v>113</v>
      </c>
      <c r="G265" s="38" t="s">
        <v>164</v>
      </c>
      <c r="H265" s="49">
        <v>7.3999999999999996E-2</v>
      </c>
      <c r="I265" s="50">
        <v>6.3E-2</v>
      </c>
      <c r="J265" s="50">
        <v>8.6999999999999994E-2</v>
      </c>
      <c r="K265" s="50">
        <v>0.08</v>
      </c>
      <c r="L265" s="50">
        <v>7.4999999999999997E-2</v>
      </c>
      <c r="M265" s="50">
        <v>8.4000000000000005E-2</v>
      </c>
      <c r="N265" s="50">
        <v>7.6999999999999999E-2</v>
      </c>
      <c r="O265" s="50">
        <v>8.2000000000000003E-2</v>
      </c>
      <c r="P265" s="50">
        <v>6.4000000000000001E-2</v>
      </c>
      <c r="Q265" s="50">
        <v>5.6000000000000001E-2</v>
      </c>
      <c r="R265" s="50">
        <v>7.9000000000000001E-2</v>
      </c>
      <c r="S265" s="50">
        <v>6.8000000000000005E-2</v>
      </c>
      <c r="T265" s="50">
        <v>7.4999999999999997E-2</v>
      </c>
      <c r="U265" s="50">
        <v>5.3999999999999999E-2</v>
      </c>
      <c r="V265" s="50">
        <v>3.5999999999999997E-2</v>
      </c>
      <c r="W265" s="50">
        <v>4.2999999999999997E-2</v>
      </c>
      <c r="X265" s="51">
        <v>0.04</v>
      </c>
    </row>
    <row r="266" spans="1:24" ht="20.45">
      <c r="A266" s="33" t="s">
        <v>50</v>
      </c>
      <c r="B266" s="34" t="s">
        <v>89</v>
      </c>
      <c r="C266" s="34">
        <v>2021</v>
      </c>
      <c r="D266" s="35" t="s">
        <v>485</v>
      </c>
      <c r="E266" s="36">
        <v>2021</v>
      </c>
      <c r="F266" s="37" t="s">
        <v>113</v>
      </c>
      <c r="G266" s="38" t="s">
        <v>164</v>
      </c>
      <c r="H266" s="49">
        <v>8.5999999999999993E-2</v>
      </c>
      <c r="I266" s="50">
        <v>5.1999999999999998E-2</v>
      </c>
      <c r="J266" s="50">
        <v>8.2000000000000003E-2</v>
      </c>
      <c r="K266" s="50">
        <v>9.8000000000000004E-2</v>
      </c>
      <c r="L266" s="50">
        <v>9.4E-2</v>
      </c>
      <c r="M266" s="50">
        <v>9.6000000000000002E-2</v>
      </c>
      <c r="N266" s="50">
        <v>8.5999999999999993E-2</v>
      </c>
      <c r="O266" s="50">
        <v>9.7000000000000003E-2</v>
      </c>
      <c r="P266" s="50">
        <v>8.4000000000000005E-2</v>
      </c>
      <c r="Q266" s="50">
        <v>6.5000000000000002E-2</v>
      </c>
      <c r="R266" s="50">
        <v>7.9000000000000001E-2</v>
      </c>
      <c r="S266" s="50">
        <v>7.6999999999999999E-2</v>
      </c>
      <c r="T266" s="50">
        <v>7.1999999999999995E-2</v>
      </c>
      <c r="U266" s="50">
        <v>0.08</v>
      </c>
      <c r="V266" s="50">
        <v>3.6999999999999998E-2</v>
      </c>
      <c r="W266" s="50">
        <v>4.4999999999999998E-2</v>
      </c>
      <c r="X266" s="51">
        <v>5.0999999999999997E-2</v>
      </c>
    </row>
    <row r="267" spans="1:24" ht="20.45">
      <c r="A267" s="33" t="s">
        <v>50</v>
      </c>
      <c r="B267" s="34" t="s">
        <v>89</v>
      </c>
      <c r="C267" s="34">
        <v>2020</v>
      </c>
      <c r="D267" s="35" t="s">
        <v>486</v>
      </c>
      <c r="E267" s="36">
        <v>2020</v>
      </c>
      <c r="F267" s="37" t="s">
        <v>113</v>
      </c>
      <c r="G267" s="38" t="s">
        <v>164</v>
      </c>
      <c r="H267" s="49">
        <v>0.10299999999999999</v>
      </c>
      <c r="I267" s="50">
        <v>7.2999999999999995E-2</v>
      </c>
      <c r="J267" s="50">
        <v>9.5000000000000001E-2</v>
      </c>
      <c r="K267" s="50">
        <v>0.113</v>
      </c>
      <c r="L267" s="50">
        <v>0.106</v>
      </c>
      <c r="M267" s="50">
        <v>0.125</v>
      </c>
      <c r="N267" s="50">
        <v>0.11</v>
      </c>
      <c r="O267" s="50">
        <v>0.111</v>
      </c>
      <c r="P267" s="50">
        <v>0.104</v>
      </c>
      <c r="Q267" s="50">
        <v>8.3000000000000004E-2</v>
      </c>
      <c r="R267" s="50">
        <v>0.08</v>
      </c>
      <c r="S267" s="50">
        <v>0.10299999999999999</v>
      </c>
      <c r="T267" s="50">
        <v>8.5000000000000006E-2</v>
      </c>
      <c r="U267" s="50">
        <v>9.9000000000000005E-2</v>
      </c>
      <c r="V267" s="50">
        <v>5.8000000000000003E-2</v>
      </c>
      <c r="W267" s="50">
        <v>7.1999999999999995E-2</v>
      </c>
      <c r="X267" s="51">
        <v>6.2E-2</v>
      </c>
    </row>
    <row r="268" spans="1:24" ht="20.45">
      <c r="A268" s="33" t="s">
        <v>50</v>
      </c>
      <c r="B268" s="34" t="s">
        <v>89</v>
      </c>
      <c r="C268" s="34">
        <v>2019</v>
      </c>
      <c r="D268" s="35" t="s">
        <v>487</v>
      </c>
      <c r="E268" s="36">
        <v>2019</v>
      </c>
      <c r="F268" s="37" t="s">
        <v>113</v>
      </c>
      <c r="G268" s="38" t="s">
        <v>164</v>
      </c>
      <c r="H268" s="49">
        <v>6.7000000000000004E-2</v>
      </c>
      <c r="I268" s="50">
        <v>5.6000000000000001E-2</v>
      </c>
      <c r="J268" s="50">
        <v>7.3999999999999996E-2</v>
      </c>
      <c r="K268" s="50">
        <v>6.9000000000000006E-2</v>
      </c>
      <c r="L268" s="50">
        <v>7.9000000000000001E-2</v>
      </c>
      <c r="M268" s="50">
        <v>6.9000000000000006E-2</v>
      </c>
      <c r="N268" s="50">
        <v>6.9000000000000006E-2</v>
      </c>
      <c r="O268" s="50">
        <v>7.1999999999999995E-2</v>
      </c>
      <c r="P268" s="50">
        <v>8.2000000000000003E-2</v>
      </c>
      <c r="Q268" s="50">
        <v>5.6000000000000001E-2</v>
      </c>
      <c r="R268" s="50">
        <v>5.7000000000000002E-2</v>
      </c>
      <c r="S268" s="50">
        <v>7.0000000000000007E-2</v>
      </c>
      <c r="T268" s="50">
        <v>0.06</v>
      </c>
      <c r="U268" s="50">
        <v>3.7999999999999999E-2</v>
      </c>
      <c r="V268" s="50">
        <v>3.4000000000000002E-2</v>
      </c>
      <c r="W268" s="50">
        <v>4.4999999999999998E-2</v>
      </c>
      <c r="X268" s="51">
        <v>2.5000000000000001E-2</v>
      </c>
    </row>
    <row r="269" spans="1:24" ht="20.45">
      <c r="A269" s="33" t="s">
        <v>50</v>
      </c>
      <c r="B269" s="34" t="s">
        <v>89</v>
      </c>
      <c r="C269" s="34">
        <v>2018</v>
      </c>
      <c r="D269" s="35" t="s">
        <v>488</v>
      </c>
      <c r="E269" s="36">
        <v>2018</v>
      </c>
      <c r="F269" s="37" t="s">
        <v>113</v>
      </c>
      <c r="G269" s="38" t="s">
        <v>164</v>
      </c>
      <c r="H269" s="49">
        <v>6.7000000000000004E-2</v>
      </c>
      <c r="I269" s="50">
        <v>7.1999999999999995E-2</v>
      </c>
      <c r="J269" s="50">
        <v>8.5999999999999993E-2</v>
      </c>
      <c r="K269" s="50">
        <v>0.08</v>
      </c>
      <c r="L269" s="50">
        <v>8.1000000000000003E-2</v>
      </c>
      <c r="M269" s="50">
        <v>7.0000000000000007E-2</v>
      </c>
      <c r="N269" s="50">
        <v>6.8000000000000005E-2</v>
      </c>
      <c r="O269" s="50">
        <v>7.1999999999999995E-2</v>
      </c>
      <c r="P269" s="50">
        <v>7.3999999999999996E-2</v>
      </c>
      <c r="Q269" s="50">
        <v>5.5E-2</v>
      </c>
      <c r="R269" s="50">
        <v>6.4000000000000001E-2</v>
      </c>
      <c r="S269" s="50">
        <v>7.1999999999999995E-2</v>
      </c>
      <c r="T269" s="50">
        <v>6.5000000000000002E-2</v>
      </c>
      <c r="U269" s="50">
        <v>0.04</v>
      </c>
      <c r="V269" s="50">
        <v>2.9000000000000001E-2</v>
      </c>
      <c r="W269" s="50">
        <v>3.6999999999999998E-2</v>
      </c>
      <c r="X269" s="51">
        <v>2.8000000000000001E-2</v>
      </c>
    </row>
    <row r="270" spans="1:24" ht="20.45">
      <c r="A270" s="33" t="s">
        <v>50</v>
      </c>
      <c r="B270" s="34" t="s">
        <v>89</v>
      </c>
      <c r="C270" s="34">
        <v>2017</v>
      </c>
      <c r="D270" s="35" t="s">
        <v>489</v>
      </c>
      <c r="E270" s="36">
        <v>2017</v>
      </c>
      <c r="F270" s="37" t="s">
        <v>113</v>
      </c>
      <c r="G270" s="38" t="s">
        <v>164</v>
      </c>
      <c r="H270" s="49">
        <v>6.5000000000000002E-2</v>
      </c>
      <c r="I270" s="50">
        <v>5.8999999999999997E-2</v>
      </c>
      <c r="J270" s="50">
        <v>7.4999999999999997E-2</v>
      </c>
      <c r="K270" s="50">
        <v>8.6999999999999994E-2</v>
      </c>
      <c r="L270" s="50">
        <v>7.3999999999999996E-2</v>
      </c>
      <c r="M270" s="50">
        <v>7.6999999999999999E-2</v>
      </c>
      <c r="N270" s="50">
        <v>7.0000000000000007E-2</v>
      </c>
      <c r="O270" s="50">
        <v>6.8000000000000005E-2</v>
      </c>
      <c r="P270" s="50">
        <v>5.8999999999999997E-2</v>
      </c>
      <c r="Q270" s="50">
        <v>4.9000000000000002E-2</v>
      </c>
      <c r="R270" s="50">
        <v>7.0000000000000007E-2</v>
      </c>
      <c r="S270" s="50">
        <v>7.3999999999999996E-2</v>
      </c>
      <c r="T270" s="50">
        <v>6.9000000000000006E-2</v>
      </c>
      <c r="U270" s="50">
        <v>0.04</v>
      </c>
      <c r="V270" s="50">
        <v>3.3000000000000002E-2</v>
      </c>
      <c r="W270" s="50">
        <v>2.3E-2</v>
      </c>
      <c r="X270" s="51">
        <v>3.3000000000000002E-2</v>
      </c>
    </row>
    <row r="271" spans="1:24" ht="20.45">
      <c r="A271" s="33" t="s">
        <v>50</v>
      </c>
      <c r="B271" s="34" t="s">
        <v>89</v>
      </c>
      <c r="C271" s="34">
        <v>2016</v>
      </c>
      <c r="D271" s="35" t="s">
        <v>490</v>
      </c>
      <c r="E271" s="36">
        <v>2016</v>
      </c>
      <c r="F271" s="37" t="s">
        <v>113</v>
      </c>
      <c r="G271" s="38" t="s">
        <v>164</v>
      </c>
      <c r="H271" s="49">
        <v>6.3E-2</v>
      </c>
      <c r="I271" s="50">
        <v>5.2999999999999999E-2</v>
      </c>
      <c r="J271" s="50">
        <v>8.2000000000000003E-2</v>
      </c>
      <c r="K271" s="50">
        <v>8.2000000000000003E-2</v>
      </c>
      <c r="L271" s="50">
        <v>8.5000000000000006E-2</v>
      </c>
      <c r="M271" s="50">
        <v>8.1000000000000003E-2</v>
      </c>
      <c r="N271" s="50">
        <v>6.8000000000000005E-2</v>
      </c>
      <c r="O271" s="50">
        <v>6.6000000000000003E-2</v>
      </c>
      <c r="P271" s="50">
        <v>5.5E-2</v>
      </c>
      <c r="Q271" s="50">
        <v>4.4999999999999998E-2</v>
      </c>
      <c r="R271" s="50">
        <v>6.4000000000000001E-2</v>
      </c>
      <c r="S271" s="50">
        <v>6.9000000000000006E-2</v>
      </c>
      <c r="T271" s="50">
        <v>0.06</v>
      </c>
      <c r="U271" s="50">
        <v>3.5000000000000003E-2</v>
      </c>
      <c r="V271" s="50">
        <v>2.9000000000000001E-2</v>
      </c>
      <c r="W271" s="50">
        <v>0.02</v>
      </c>
      <c r="X271" s="51">
        <v>0.04</v>
      </c>
    </row>
    <row r="272" spans="1:24" ht="20.45">
      <c r="A272" s="33" t="s">
        <v>50</v>
      </c>
      <c r="B272" s="34" t="s">
        <v>89</v>
      </c>
      <c r="C272" s="34">
        <v>2015</v>
      </c>
      <c r="D272" s="35" t="s">
        <v>491</v>
      </c>
      <c r="E272" s="36">
        <v>2015</v>
      </c>
      <c r="F272" s="37" t="s">
        <v>113</v>
      </c>
      <c r="G272" s="38" t="s">
        <v>164</v>
      </c>
      <c r="H272" s="49">
        <v>5.8000000000000003E-2</v>
      </c>
      <c r="I272" s="50">
        <v>5.8000000000000003E-2</v>
      </c>
      <c r="J272" s="50">
        <v>6.9000000000000006E-2</v>
      </c>
      <c r="K272" s="50">
        <v>7.1999999999999995E-2</v>
      </c>
      <c r="L272" s="50">
        <v>5.8999999999999997E-2</v>
      </c>
      <c r="M272" s="50">
        <v>7.6999999999999999E-2</v>
      </c>
      <c r="N272" s="50">
        <v>6.5000000000000002E-2</v>
      </c>
      <c r="O272" s="50">
        <v>5.6000000000000001E-2</v>
      </c>
      <c r="P272" s="50">
        <v>5.2999999999999999E-2</v>
      </c>
      <c r="Q272" s="50">
        <v>5.5E-2</v>
      </c>
      <c r="R272" s="50">
        <v>6.2E-2</v>
      </c>
      <c r="S272" s="50">
        <v>7.4999999999999997E-2</v>
      </c>
      <c r="T272" s="50">
        <v>6.3E-2</v>
      </c>
      <c r="U272" s="50">
        <v>3.2000000000000001E-2</v>
      </c>
      <c r="V272" s="50">
        <v>0.03</v>
      </c>
      <c r="W272" s="50">
        <v>0.03</v>
      </c>
      <c r="X272" s="51">
        <v>3.7999999999999999E-2</v>
      </c>
    </row>
    <row r="273" spans="1:24" ht="20.45">
      <c r="A273" s="33" t="s">
        <v>50</v>
      </c>
      <c r="B273" s="34" t="s">
        <v>89</v>
      </c>
      <c r="C273" s="34">
        <v>46199</v>
      </c>
      <c r="D273" s="35" t="s">
        <v>492</v>
      </c>
      <c r="E273" s="36" t="s">
        <v>468</v>
      </c>
      <c r="F273" s="37" t="s">
        <v>113</v>
      </c>
      <c r="G273" s="38" t="s">
        <v>164</v>
      </c>
      <c r="H273" s="49">
        <v>0.104</v>
      </c>
      <c r="I273" s="50">
        <v>7.4999999999999997E-2</v>
      </c>
      <c r="J273" s="50">
        <v>6.7000000000000004E-2</v>
      </c>
      <c r="K273" s="50">
        <v>0.08</v>
      </c>
      <c r="L273" s="50">
        <v>0.10199999999999999</v>
      </c>
      <c r="M273" s="50">
        <v>0.104</v>
      </c>
      <c r="N273" s="50">
        <v>0.114</v>
      </c>
      <c r="O273" s="50">
        <v>0.1</v>
      </c>
      <c r="P273" s="50">
        <v>0.14199999999999999</v>
      </c>
      <c r="Q273" s="50">
        <v>0.12</v>
      </c>
      <c r="R273" s="50">
        <v>0.13200000000000001</v>
      </c>
      <c r="S273" s="50">
        <v>0.113</v>
      </c>
      <c r="T273" s="50">
        <v>0.111</v>
      </c>
      <c r="U273" s="50">
        <v>0.11799999999999999</v>
      </c>
      <c r="V273" s="50">
        <v>8.5000000000000006E-2</v>
      </c>
      <c r="W273" s="50">
        <v>5.8999999999999997E-2</v>
      </c>
      <c r="X273" s="51">
        <v>9.5000000000000001E-2</v>
      </c>
    </row>
    <row r="274" spans="1:24" ht="20.45">
      <c r="A274" s="33" t="s">
        <v>50</v>
      </c>
      <c r="B274" s="34" t="s">
        <v>89</v>
      </c>
      <c r="C274" s="34">
        <v>2025</v>
      </c>
      <c r="D274" s="35" t="s">
        <v>493</v>
      </c>
      <c r="E274" s="36">
        <v>2025</v>
      </c>
      <c r="F274" s="37" t="s">
        <v>113</v>
      </c>
      <c r="G274" s="38" t="s">
        <v>164</v>
      </c>
      <c r="H274" s="49">
        <v>9.2999999999999999E-2</v>
      </c>
      <c r="I274" s="50">
        <v>6.7000000000000004E-2</v>
      </c>
      <c r="J274" s="50">
        <v>9.6000000000000002E-2</v>
      </c>
      <c r="K274" s="50">
        <v>7.8E-2</v>
      </c>
      <c r="L274" s="50">
        <v>0.10199999999999999</v>
      </c>
      <c r="M274" s="50">
        <v>8.7999999999999995E-2</v>
      </c>
      <c r="N274" s="50">
        <v>9.0999999999999998E-2</v>
      </c>
      <c r="O274" s="50">
        <v>9.5000000000000001E-2</v>
      </c>
      <c r="P274" s="50">
        <v>9.8000000000000004E-2</v>
      </c>
      <c r="Q274" s="50">
        <v>8.8999999999999996E-2</v>
      </c>
      <c r="R274" s="50">
        <v>0.111</v>
      </c>
      <c r="S274" s="50">
        <v>0.1</v>
      </c>
      <c r="T274" s="50">
        <v>9.8000000000000004E-2</v>
      </c>
      <c r="U274" s="50">
        <v>9.8000000000000004E-2</v>
      </c>
      <c r="V274" s="50">
        <v>6.0999999999999999E-2</v>
      </c>
      <c r="W274" s="50">
        <v>5.1999999999999998E-2</v>
      </c>
      <c r="X274" s="51">
        <v>7.1999999999999995E-2</v>
      </c>
    </row>
    <row r="275" spans="1:24" ht="20.45">
      <c r="A275" s="33" t="s">
        <v>50</v>
      </c>
      <c r="B275" s="34" t="s">
        <v>89</v>
      </c>
      <c r="C275" s="34">
        <v>2024</v>
      </c>
      <c r="D275" s="35" t="s">
        <v>494</v>
      </c>
      <c r="E275" s="36">
        <v>2024</v>
      </c>
      <c r="F275" s="37" t="s">
        <v>113</v>
      </c>
      <c r="G275" s="38" t="s">
        <v>164</v>
      </c>
      <c r="H275" s="49">
        <v>9.2999999999999999E-2</v>
      </c>
      <c r="I275" s="50">
        <v>7.0000000000000007E-2</v>
      </c>
      <c r="J275" s="50">
        <v>8.4000000000000005E-2</v>
      </c>
      <c r="K275" s="50">
        <v>9.1999999999999998E-2</v>
      </c>
      <c r="L275" s="50">
        <v>9.8000000000000004E-2</v>
      </c>
      <c r="M275" s="50">
        <v>8.1000000000000003E-2</v>
      </c>
      <c r="N275" s="50">
        <v>0.09</v>
      </c>
      <c r="O275" s="50">
        <v>9.4E-2</v>
      </c>
      <c r="P275" s="50">
        <v>0.105</v>
      </c>
      <c r="Q275" s="50">
        <v>9.8000000000000004E-2</v>
      </c>
      <c r="R275" s="50">
        <v>0.104</v>
      </c>
      <c r="S275" s="50">
        <v>9.9000000000000005E-2</v>
      </c>
      <c r="T275" s="50">
        <v>0.114</v>
      </c>
      <c r="U275" s="50">
        <v>0.09</v>
      </c>
      <c r="V275" s="50">
        <v>0.05</v>
      </c>
      <c r="W275" s="50">
        <v>5.2999999999999999E-2</v>
      </c>
      <c r="X275" s="51">
        <v>7.0999999999999994E-2</v>
      </c>
    </row>
    <row r="276" spans="1:24" ht="20.45">
      <c r="A276" s="33" t="s">
        <v>50</v>
      </c>
      <c r="B276" s="34" t="s">
        <v>89</v>
      </c>
      <c r="C276" s="34">
        <v>2023</v>
      </c>
      <c r="D276" s="35" t="s">
        <v>495</v>
      </c>
      <c r="E276" s="36">
        <v>2023</v>
      </c>
      <c r="F276" s="37" t="s">
        <v>113</v>
      </c>
      <c r="G276" s="38" t="s">
        <v>164</v>
      </c>
      <c r="H276" s="49">
        <v>9.0999999999999998E-2</v>
      </c>
      <c r="I276" s="50">
        <v>7.8E-2</v>
      </c>
      <c r="J276" s="50">
        <v>5.8999999999999997E-2</v>
      </c>
      <c r="K276" s="50">
        <v>8.2000000000000003E-2</v>
      </c>
      <c r="L276" s="50">
        <v>0.107</v>
      </c>
      <c r="M276" s="50">
        <v>0.10100000000000001</v>
      </c>
      <c r="N276" s="50">
        <v>8.6999999999999994E-2</v>
      </c>
      <c r="O276" s="50">
        <v>9.7000000000000003E-2</v>
      </c>
      <c r="P276" s="50">
        <v>9.5000000000000001E-2</v>
      </c>
      <c r="Q276" s="50">
        <v>9.1999999999999998E-2</v>
      </c>
      <c r="R276" s="50">
        <v>0.11600000000000001</v>
      </c>
      <c r="S276" s="50">
        <v>8.4000000000000005E-2</v>
      </c>
      <c r="T276" s="50">
        <v>8.4000000000000005E-2</v>
      </c>
      <c r="U276" s="50">
        <v>9.7000000000000003E-2</v>
      </c>
      <c r="V276" s="50">
        <v>5.3999999999999999E-2</v>
      </c>
      <c r="W276" s="50">
        <v>5.6000000000000001E-2</v>
      </c>
      <c r="X276" s="51">
        <v>6.4000000000000001E-2</v>
      </c>
    </row>
    <row r="277" spans="1:24" ht="20.45">
      <c r="A277" s="33" t="s">
        <v>50</v>
      </c>
      <c r="B277" s="34" t="s">
        <v>89</v>
      </c>
      <c r="C277" s="34">
        <v>2022</v>
      </c>
      <c r="D277" s="35" t="s">
        <v>496</v>
      </c>
      <c r="E277" s="36">
        <v>2022</v>
      </c>
      <c r="F277" s="37" t="s">
        <v>113</v>
      </c>
      <c r="G277" s="38" t="s">
        <v>164</v>
      </c>
      <c r="H277" s="49">
        <v>8.5000000000000006E-2</v>
      </c>
      <c r="I277" s="50">
        <v>6.8000000000000005E-2</v>
      </c>
      <c r="J277" s="50">
        <v>0.09</v>
      </c>
      <c r="K277" s="50">
        <v>8.7999999999999995E-2</v>
      </c>
      <c r="L277" s="50">
        <v>8.5999999999999993E-2</v>
      </c>
      <c r="M277" s="50">
        <v>0.09</v>
      </c>
      <c r="N277" s="50">
        <v>8.6999999999999994E-2</v>
      </c>
      <c r="O277" s="50">
        <v>9.0999999999999998E-2</v>
      </c>
      <c r="P277" s="50">
        <v>7.8E-2</v>
      </c>
      <c r="Q277" s="50">
        <v>7.9000000000000001E-2</v>
      </c>
      <c r="R277" s="50">
        <v>0.09</v>
      </c>
      <c r="S277" s="50">
        <v>7.9000000000000001E-2</v>
      </c>
      <c r="T277" s="50">
        <v>8.3000000000000004E-2</v>
      </c>
      <c r="U277" s="50">
        <v>7.3999999999999996E-2</v>
      </c>
      <c r="V277" s="50">
        <v>4.4999999999999998E-2</v>
      </c>
      <c r="W277" s="50">
        <v>5.7000000000000002E-2</v>
      </c>
      <c r="X277" s="51">
        <v>5.5E-2</v>
      </c>
    </row>
    <row r="278" spans="1:24" ht="20.45">
      <c r="A278" s="33" t="s">
        <v>50</v>
      </c>
      <c r="B278" s="34" t="s">
        <v>89</v>
      </c>
      <c r="C278" s="34">
        <v>2021</v>
      </c>
      <c r="D278" s="35" t="s">
        <v>497</v>
      </c>
      <c r="E278" s="36">
        <v>2021</v>
      </c>
      <c r="F278" s="37" t="s">
        <v>113</v>
      </c>
      <c r="G278" s="38" t="s">
        <v>164</v>
      </c>
      <c r="H278" s="49">
        <v>9.0999999999999998E-2</v>
      </c>
      <c r="I278" s="50">
        <v>6.4000000000000001E-2</v>
      </c>
      <c r="J278" s="50">
        <v>9.6000000000000002E-2</v>
      </c>
      <c r="K278" s="50">
        <v>8.6999999999999994E-2</v>
      </c>
      <c r="L278" s="50">
        <v>8.8999999999999996E-2</v>
      </c>
      <c r="M278" s="50">
        <v>9.5000000000000001E-2</v>
      </c>
      <c r="N278" s="50">
        <v>9.7000000000000003E-2</v>
      </c>
      <c r="O278" s="50">
        <v>0.10100000000000001</v>
      </c>
      <c r="P278" s="50">
        <v>9.4E-2</v>
      </c>
      <c r="Q278" s="50">
        <v>7.4999999999999997E-2</v>
      </c>
      <c r="R278" s="50">
        <v>9.1999999999999998E-2</v>
      </c>
      <c r="S278" s="50">
        <v>8.1000000000000003E-2</v>
      </c>
      <c r="T278" s="50">
        <v>6.9000000000000006E-2</v>
      </c>
      <c r="U278" s="50">
        <v>0.09</v>
      </c>
      <c r="V278" s="50">
        <v>3.4000000000000002E-2</v>
      </c>
      <c r="W278" s="50">
        <v>4.2999999999999997E-2</v>
      </c>
      <c r="X278" s="51">
        <v>5.8999999999999997E-2</v>
      </c>
    </row>
    <row r="279" spans="1:24" ht="20.45">
      <c r="A279" s="33" t="s">
        <v>50</v>
      </c>
      <c r="B279" s="34" t="s">
        <v>89</v>
      </c>
      <c r="C279" s="34">
        <v>2020</v>
      </c>
      <c r="D279" s="35" t="s">
        <v>498</v>
      </c>
      <c r="E279" s="36">
        <v>2020</v>
      </c>
      <c r="F279" s="37" t="s">
        <v>113</v>
      </c>
      <c r="G279" s="38" t="s">
        <v>164</v>
      </c>
      <c r="H279" s="49">
        <v>0.109</v>
      </c>
      <c r="I279" s="50">
        <v>7.3999999999999996E-2</v>
      </c>
      <c r="J279" s="50">
        <v>0.104</v>
      </c>
      <c r="K279" s="50">
        <v>0.111</v>
      </c>
      <c r="L279" s="50">
        <v>0.10299999999999999</v>
      </c>
      <c r="M279" s="50">
        <v>0.123</v>
      </c>
      <c r="N279" s="50">
        <v>0.126</v>
      </c>
      <c r="O279" s="50">
        <v>0.114</v>
      </c>
      <c r="P279" s="50">
        <v>0.113</v>
      </c>
      <c r="Q279" s="50">
        <v>0.09</v>
      </c>
      <c r="R279" s="50">
        <v>0.113</v>
      </c>
      <c r="S279" s="50">
        <v>9.1999999999999998E-2</v>
      </c>
      <c r="T279" s="50">
        <v>0.108</v>
      </c>
      <c r="U279" s="50">
        <v>0.10299999999999999</v>
      </c>
      <c r="V279" s="50">
        <v>6.5000000000000002E-2</v>
      </c>
      <c r="W279" s="50">
        <v>5.8999999999999997E-2</v>
      </c>
      <c r="X279" s="51">
        <v>7.8E-2</v>
      </c>
    </row>
    <row r="280" spans="1:24" ht="20.45">
      <c r="A280" s="33" t="s">
        <v>50</v>
      </c>
      <c r="B280" s="34" t="s">
        <v>89</v>
      </c>
      <c r="C280" s="34">
        <v>2019</v>
      </c>
      <c r="D280" s="35" t="s">
        <v>499</v>
      </c>
      <c r="E280" s="36">
        <v>2019</v>
      </c>
      <c r="F280" s="37" t="s">
        <v>113</v>
      </c>
      <c r="G280" s="38" t="s">
        <v>164</v>
      </c>
      <c r="H280" s="49">
        <v>0.08</v>
      </c>
      <c r="I280" s="50">
        <v>7.6999999999999999E-2</v>
      </c>
      <c r="J280" s="50">
        <v>6.0999999999999999E-2</v>
      </c>
      <c r="K280" s="50">
        <v>9.4E-2</v>
      </c>
      <c r="L280" s="50">
        <v>9.6000000000000002E-2</v>
      </c>
      <c r="M280" s="50">
        <v>6.9000000000000006E-2</v>
      </c>
      <c r="N280" s="50">
        <v>9.2999999999999999E-2</v>
      </c>
      <c r="O280" s="50">
        <v>8.2000000000000003E-2</v>
      </c>
      <c r="P280" s="50">
        <v>7.0000000000000007E-2</v>
      </c>
      <c r="Q280" s="50">
        <v>7.9000000000000001E-2</v>
      </c>
      <c r="R280" s="50">
        <v>9.8000000000000004E-2</v>
      </c>
      <c r="S280" s="50">
        <v>7.6999999999999999E-2</v>
      </c>
      <c r="T280" s="50">
        <v>8.5000000000000006E-2</v>
      </c>
      <c r="U280" s="50">
        <v>7.0000000000000007E-2</v>
      </c>
      <c r="V280" s="50">
        <v>3.7999999999999999E-2</v>
      </c>
      <c r="W280" s="50">
        <v>3.6999999999999998E-2</v>
      </c>
      <c r="X280" s="51">
        <v>5.2999999999999999E-2</v>
      </c>
    </row>
    <row r="281" spans="1:24" ht="20.45">
      <c r="A281" s="33" t="s">
        <v>50</v>
      </c>
      <c r="B281" s="34" t="s">
        <v>89</v>
      </c>
      <c r="C281" s="34">
        <v>2018</v>
      </c>
      <c r="D281" s="35" t="s">
        <v>500</v>
      </c>
      <c r="E281" s="36">
        <v>2018</v>
      </c>
      <c r="F281" s="37" t="s">
        <v>113</v>
      </c>
      <c r="G281" s="38" t="s">
        <v>164</v>
      </c>
      <c r="H281" s="49">
        <v>8.3000000000000004E-2</v>
      </c>
      <c r="I281" s="50">
        <v>8.1000000000000003E-2</v>
      </c>
      <c r="J281" s="50">
        <v>7.9000000000000001E-2</v>
      </c>
      <c r="K281" s="50">
        <v>9.6000000000000002E-2</v>
      </c>
      <c r="L281" s="50">
        <v>9.5000000000000001E-2</v>
      </c>
      <c r="M281" s="50">
        <v>0.08</v>
      </c>
      <c r="N281" s="50">
        <v>0.09</v>
      </c>
      <c r="O281" s="50">
        <v>8.5000000000000006E-2</v>
      </c>
      <c r="P281" s="50">
        <v>8.1000000000000003E-2</v>
      </c>
      <c r="Q281" s="50">
        <v>7.5999999999999998E-2</v>
      </c>
      <c r="R281" s="50">
        <v>0.114</v>
      </c>
      <c r="S281" s="50">
        <v>8.2000000000000003E-2</v>
      </c>
      <c r="T281" s="50">
        <v>8.4000000000000005E-2</v>
      </c>
      <c r="U281" s="50">
        <v>6.8000000000000005E-2</v>
      </c>
      <c r="V281" s="50">
        <v>4.4999999999999998E-2</v>
      </c>
      <c r="W281" s="50">
        <v>3.3000000000000002E-2</v>
      </c>
      <c r="X281" s="51">
        <v>4.3999999999999997E-2</v>
      </c>
    </row>
    <row r="282" spans="1:24" ht="20.45">
      <c r="A282" s="33" t="s">
        <v>50</v>
      </c>
      <c r="B282" s="34" t="s">
        <v>89</v>
      </c>
      <c r="C282" s="34">
        <v>2017</v>
      </c>
      <c r="D282" s="35" t="s">
        <v>501</v>
      </c>
      <c r="E282" s="36">
        <v>2017</v>
      </c>
      <c r="F282" s="37" t="s">
        <v>113</v>
      </c>
      <c r="G282" s="38" t="s">
        <v>164</v>
      </c>
      <c r="H282" s="49">
        <v>7.4999999999999997E-2</v>
      </c>
      <c r="I282" s="50">
        <v>7.6999999999999999E-2</v>
      </c>
      <c r="J282" s="50">
        <v>7.0000000000000007E-2</v>
      </c>
      <c r="K282" s="50">
        <v>8.7999999999999995E-2</v>
      </c>
      <c r="L282" s="50">
        <v>7.3999999999999996E-2</v>
      </c>
      <c r="M282" s="50">
        <v>8.4000000000000005E-2</v>
      </c>
      <c r="N282" s="50">
        <v>0.08</v>
      </c>
      <c r="O282" s="50">
        <v>7.2999999999999995E-2</v>
      </c>
      <c r="P282" s="50">
        <v>8.1000000000000003E-2</v>
      </c>
      <c r="Q282" s="50">
        <v>6.8000000000000005E-2</v>
      </c>
      <c r="R282" s="50">
        <v>8.6999999999999994E-2</v>
      </c>
      <c r="S282" s="50">
        <v>8.3000000000000004E-2</v>
      </c>
      <c r="T282" s="50">
        <v>0.104</v>
      </c>
      <c r="U282" s="50">
        <v>5.5E-2</v>
      </c>
      <c r="V282" s="50">
        <v>4.4999999999999998E-2</v>
      </c>
      <c r="W282" s="50">
        <v>4.4999999999999998E-2</v>
      </c>
      <c r="X282" s="51">
        <v>3.5000000000000003E-2</v>
      </c>
    </row>
    <row r="283" spans="1:24" ht="20.45">
      <c r="A283" s="33" t="s">
        <v>50</v>
      </c>
      <c r="B283" s="34" t="s">
        <v>89</v>
      </c>
      <c r="C283" s="34">
        <v>2016</v>
      </c>
      <c r="D283" s="35" t="s">
        <v>502</v>
      </c>
      <c r="E283" s="36">
        <v>2016</v>
      </c>
      <c r="F283" s="37" t="s">
        <v>113</v>
      </c>
      <c r="G283" s="38" t="s">
        <v>164</v>
      </c>
      <c r="H283" s="49">
        <v>7.1999999999999995E-2</v>
      </c>
      <c r="I283" s="50">
        <v>6.8000000000000005E-2</v>
      </c>
      <c r="J283" s="50">
        <v>6.0999999999999999E-2</v>
      </c>
      <c r="K283" s="50">
        <v>7.9000000000000001E-2</v>
      </c>
      <c r="L283" s="50">
        <v>7.5999999999999998E-2</v>
      </c>
      <c r="M283" s="50">
        <v>7.4999999999999997E-2</v>
      </c>
      <c r="N283" s="50">
        <v>8.2000000000000003E-2</v>
      </c>
      <c r="O283" s="50">
        <v>7.2999999999999995E-2</v>
      </c>
      <c r="P283" s="50">
        <v>7.8E-2</v>
      </c>
      <c r="Q283" s="50">
        <v>0.06</v>
      </c>
      <c r="R283" s="50">
        <v>8.1000000000000003E-2</v>
      </c>
      <c r="S283" s="50">
        <v>7.9000000000000001E-2</v>
      </c>
      <c r="T283" s="50">
        <v>8.7999999999999995E-2</v>
      </c>
      <c r="U283" s="50">
        <v>6.0999999999999999E-2</v>
      </c>
      <c r="V283" s="50">
        <v>2.7E-2</v>
      </c>
      <c r="W283" s="50">
        <v>4.2000000000000003E-2</v>
      </c>
      <c r="X283" s="51">
        <v>4.7E-2</v>
      </c>
    </row>
    <row r="284" spans="1:24" ht="20.45">
      <c r="A284" s="33" t="s">
        <v>50</v>
      </c>
      <c r="B284" s="34" t="s">
        <v>89</v>
      </c>
      <c r="C284" s="34">
        <v>2015</v>
      </c>
      <c r="D284" s="35" t="s">
        <v>503</v>
      </c>
      <c r="E284" s="36">
        <v>2015</v>
      </c>
      <c r="F284" s="37" t="s">
        <v>113</v>
      </c>
      <c r="G284" s="38" t="s">
        <v>164</v>
      </c>
      <c r="H284" s="49">
        <v>7.0000000000000007E-2</v>
      </c>
      <c r="I284" s="50">
        <v>5.3999999999999999E-2</v>
      </c>
      <c r="J284" s="50">
        <v>7.0000000000000007E-2</v>
      </c>
      <c r="K284" s="50">
        <v>6.4000000000000001E-2</v>
      </c>
      <c r="L284" s="50">
        <v>6.0999999999999999E-2</v>
      </c>
      <c r="M284" s="50">
        <v>0.08</v>
      </c>
      <c r="N284" s="50">
        <v>7.9000000000000001E-2</v>
      </c>
      <c r="O284" s="50">
        <v>6.8000000000000005E-2</v>
      </c>
      <c r="P284" s="50">
        <v>6.5000000000000002E-2</v>
      </c>
      <c r="Q284" s="50">
        <v>7.0000000000000007E-2</v>
      </c>
      <c r="R284" s="50">
        <v>8.8999999999999996E-2</v>
      </c>
      <c r="S284" s="50">
        <v>8.4000000000000005E-2</v>
      </c>
      <c r="T284" s="50">
        <v>8.6999999999999994E-2</v>
      </c>
      <c r="U284" s="50">
        <v>6.8000000000000005E-2</v>
      </c>
      <c r="V284" s="50">
        <v>3.6999999999999998E-2</v>
      </c>
      <c r="W284" s="50">
        <v>4.2999999999999997E-2</v>
      </c>
      <c r="X284" s="51">
        <v>3.5000000000000003E-2</v>
      </c>
    </row>
    <row r="285" spans="1:24" ht="20.45">
      <c r="A285" s="33" t="s">
        <v>50</v>
      </c>
      <c r="B285" s="34" t="s">
        <v>504</v>
      </c>
      <c r="C285" s="34">
        <v>46199</v>
      </c>
      <c r="D285" s="35" t="s">
        <v>505</v>
      </c>
      <c r="E285" s="36" t="s">
        <v>468</v>
      </c>
      <c r="F285" s="37" t="s">
        <v>113</v>
      </c>
      <c r="G285" s="38" t="s">
        <v>164</v>
      </c>
      <c r="H285" s="49">
        <v>0.27</v>
      </c>
      <c r="I285" s="50">
        <v>0.33400000000000002</v>
      </c>
      <c r="J285" s="50">
        <v>0.28399999999999997</v>
      </c>
      <c r="K285" s="50">
        <v>0.223</v>
      </c>
      <c r="L285" s="50">
        <v>0.27300000000000002</v>
      </c>
      <c r="M285" s="50">
        <v>0.307</v>
      </c>
      <c r="N285" s="50">
        <v>0.28899999999999998</v>
      </c>
      <c r="O285" s="50">
        <v>0.23599999999999999</v>
      </c>
      <c r="P285" s="50">
        <v>0.30299999999999999</v>
      </c>
      <c r="Q285" s="50">
        <v>0.311</v>
      </c>
      <c r="R285" s="50">
        <v>0.36599999999999999</v>
      </c>
      <c r="S285" s="50">
        <v>0.28299999999999997</v>
      </c>
      <c r="T285" s="50">
        <v>0.35899999999999999</v>
      </c>
      <c r="U285" s="50">
        <v>0.33400000000000002</v>
      </c>
      <c r="V285" s="50">
        <v>0.28000000000000003</v>
      </c>
      <c r="W285" s="50">
        <v>0.27400000000000002</v>
      </c>
      <c r="X285" s="51">
        <v>0.21199999999999999</v>
      </c>
    </row>
    <row r="286" spans="1:24" ht="20.45">
      <c r="A286" s="33" t="s">
        <v>50</v>
      </c>
      <c r="B286" s="34" t="s">
        <v>504</v>
      </c>
      <c r="C286" s="34">
        <v>2025</v>
      </c>
      <c r="D286" s="35" t="s">
        <v>506</v>
      </c>
      <c r="E286" s="36">
        <v>2025</v>
      </c>
      <c r="F286" s="37" t="s">
        <v>113</v>
      </c>
      <c r="G286" s="38" t="s">
        <v>164</v>
      </c>
      <c r="H286" s="49">
        <v>0.26200000000000001</v>
      </c>
      <c r="I286" s="50">
        <v>0.32200000000000001</v>
      </c>
      <c r="J286" s="50">
        <v>0.3</v>
      </c>
      <c r="K286" s="50">
        <v>0.189</v>
      </c>
      <c r="L286" s="50">
        <v>0.28999999999999998</v>
      </c>
      <c r="M286" s="50">
        <v>0.29599999999999999</v>
      </c>
      <c r="N286" s="50">
        <v>0.29299999999999998</v>
      </c>
      <c r="O286" s="50">
        <v>0.22900000000000001</v>
      </c>
      <c r="P286" s="50">
        <v>0.28699999999999998</v>
      </c>
      <c r="Q286" s="50">
        <v>0.32</v>
      </c>
      <c r="R286" s="50">
        <v>0.32400000000000001</v>
      </c>
      <c r="S286" s="50">
        <v>0.25900000000000001</v>
      </c>
      <c r="T286" s="50">
        <v>0.35699999999999998</v>
      </c>
      <c r="U286" s="50">
        <v>0.32100000000000001</v>
      </c>
      <c r="V286" s="50">
        <v>0.26400000000000001</v>
      </c>
      <c r="W286" s="50">
        <v>0.29599999999999999</v>
      </c>
      <c r="X286" s="51">
        <v>0.20100000000000001</v>
      </c>
    </row>
    <row r="287" spans="1:24" ht="20.45">
      <c r="A287" s="33" t="s">
        <v>50</v>
      </c>
      <c r="B287" s="34" t="s">
        <v>504</v>
      </c>
      <c r="C287" s="34">
        <v>2024</v>
      </c>
      <c r="D287" s="35" t="s">
        <v>507</v>
      </c>
      <c r="E287" s="36">
        <v>2024</v>
      </c>
      <c r="F287" s="37" t="s">
        <v>113</v>
      </c>
      <c r="G287" s="38" t="s">
        <v>164</v>
      </c>
      <c r="H287" s="49">
        <v>0.26900000000000002</v>
      </c>
      <c r="I287" s="50">
        <v>0.311</v>
      </c>
      <c r="J287" s="50">
        <v>0.309</v>
      </c>
      <c r="K287" s="50">
        <v>0.20399999999999999</v>
      </c>
      <c r="L287" s="50">
        <v>0.29299999999999998</v>
      </c>
      <c r="M287" s="50">
        <v>0.317</v>
      </c>
      <c r="N287" s="50">
        <v>0.29699999999999999</v>
      </c>
      <c r="O287" s="50">
        <v>0.23499999999999999</v>
      </c>
      <c r="P287" s="50">
        <v>0.28799999999999998</v>
      </c>
      <c r="Q287" s="50">
        <v>0.32300000000000001</v>
      </c>
      <c r="R287" s="50">
        <v>0.34699999999999998</v>
      </c>
      <c r="S287" s="50">
        <v>0.26200000000000001</v>
      </c>
      <c r="T287" s="50">
        <v>0.374</v>
      </c>
      <c r="U287" s="50">
        <v>0.33100000000000002</v>
      </c>
      <c r="V287" s="50">
        <v>0.28499999999999998</v>
      </c>
      <c r="W287" s="50">
        <v>0.307</v>
      </c>
      <c r="X287" s="51">
        <v>0.20499999999999999</v>
      </c>
    </row>
    <row r="288" spans="1:24" ht="20.45">
      <c r="A288" s="33" t="s">
        <v>50</v>
      </c>
      <c r="B288" s="34" t="s">
        <v>504</v>
      </c>
      <c r="C288" s="34">
        <v>2023</v>
      </c>
      <c r="D288" s="35" t="s">
        <v>508</v>
      </c>
      <c r="E288" s="36">
        <v>2023</v>
      </c>
      <c r="F288" s="37" t="s">
        <v>113</v>
      </c>
      <c r="G288" s="38" t="s">
        <v>164</v>
      </c>
      <c r="H288" s="49">
        <v>0.27200000000000002</v>
      </c>
      <c r="I288" s="50">
        <v>0.35399999999999998</v>
      </c>
      <c r="J288" s="50">
        <v>0.33900000000000002</v>
      </c>
      <c r="K288" s="50">
        <v>0.20200000000000001</v>
      </c>
      <c r="L288" s="50">
        <v>0.27800000000000002</v>
      </c>
      <c r="M288" s="50">
        <v>0.317</v>
      </c>
      <c r="N288" s="50">
        <v>0.3</v>
      </c>
      <c r="O288" s="50">
        <v>0.23699999999999999</v>
      </c>
      <c r="P288" s="50">
        <v>0.28899999999999998</v>
      </c>
      <c r="Q288" s="50">
        <v>0.33300000000000002</v>
      </c>
      <c r="R288" s="50">
        <v>0.35799999999999998</v>
      </c>
      <c r="S288" s="50">
        <v>0.26700000000000002</v>
      </c>
      <c r="T288" s="50">
        <v>0.36</v>
      </c>
      <c r="U288" s="50">
        <v>0.33400000000000002</v>
      </c>
      <c r="V288" s="50">
        <v>0.28399999999999997</v>
      </c>
      <c r="W288" s="50">
        <v>0.309</v>
      </c>
      <c r="X288" s="51">
        <v>0.191</v>
      </c>
    </row>
    <row r="289" spans="1:24" ht="20.45">
      <c r="A289" s="33" t="s">
        <v>50</v>
      </c>
      <c r="B289" s="34" t="s">
        <v>504</v>
      </c>
      <c r="C289" s="34">
        <v>2022</v>
      </c>
      <c r="D289" s="35" t="s">
        <v>509</v>
      </c>
      <c r="E289" s="36">
        <v>2022</v>
      </c>
      <c r="F289" s="37" t="s">
        <v>113</v>
      </c>
      <c r="G289" s="38" t="s">
        <v>164</v>
      </c>
      <c r="H289" s="49">
        <v>0.27200000000000002</v>
      </c>
      <c r="I289" s="50">
        <v>0.33600000000000002</v>
      </c>
      <c r="J289" s="50">
        <v>0.33900000000000002</v>
      </c>
      <c r="K289" s="50">
        <v>0.223</v>
      </c>
      <c r="L289" s="50">
        <v>0.25600000000000001</v>
      </c>
      <c r="M289" s="50">
        <v>0.318</v>
      </c>
      <c r="N289" s="50">
        <v>0.28899999999999998</v>
      </c>
      <c r="O289" s="50">
        <v>0.245</v>
      </c>
      <c r="P289" s="50">
        <v>0.28399999999999997</v>
      </c>
      <c r="Q289" s="50">
        <v>0.30299999999999999</v>
      </c>
      <c r="R289" s="50">
        <v>0.35299999999999998</v>
      </c>
      <c r="S289" s="50">
        <v>0.255</v>
      </c>
      <c r="T289" s="50">
        <v>0.36099999999999999</v>
      </c>
      <c r="U289" s="50">
        <v>0.33</v>
      </c>
      <c r="V289" s="50">
        <v>0.28199999999999997</v>
      </c>
      <c r="W289" s="50">
        <v>0.31</v>
      </c>
      <c r="X289" s="51">
        <v>0.19900000000000001</v>
      </c>
    </row>
    <row r="290" spans="1:24" ht="20.45">
      <c r="A290" s="33" t="s">
        <v>50</v>
      </c>
      <c r="B290" s="34" t="s">
        <v>504</v>
      </c>
      <c r="C290" s="34">
        <v>2021</v>
      </c>
      <c r="D290" s="35" t="s">
        <v>510</v>
      </c>
      <c r="E290" s="36">
        <v>2021</v>
      </c>
      <c r="F290" s="37" t="s">
        <v>113</v>
      </c>
      <c r="G290" s="38" t="s">
        <v>164</v>
      </c>
      <c r="H290" s="49">
        <v>0.27200000000000002</v>
      </c>
      <c r="I290" s="50">
        <v>0.32100000000000001</v>
      </c>
      <c r="J290" s="50">
        <v>0.29599999999999999</v>
      </c>
      <c r="K290" s="50">
        <v>0.23200000000000001</v>
      </c>
      <c r="L290" s="50">
        <v>0.26</v>
      </c>
      <c r="M290" s="50">
        <v>0.29499999999999998</v>
      </c>
      <c r="N290" s="50">
        <v>0.28199999999999997</v>
      </c>
      <c r="O290" s="50">
        <v>0.26300000000000001</v>
      </c>
      <c r="P290" s="50">
        <v>0.26600000000000001</v>
      </c>
      <c r="Q290" s="50">
        <v>0.29299999999999998</v>
      </c>
      <c r="R290" s="50">
        <v>0.32800000000000001</v>
      </c>
      <c r="S290" s="50">
        <v>0.251</v>
      </c>
      <c r="T290" s="50">
        <v>0.318</v>
      </c>
      <c r="U290" s="50">
        <v>0.33300000000000002</v>
      </c>
      <c r="V290" s="50">
        <v>0.26300000000000001</v>
      </c>
      <c r="W290" s="50">
        <v>0.317</v>
      </c>
      <c r="X290" s="51">
        <v>0.189</v>
      </c>
    </row>
    <row r="291" spans="1:24" ht="20.45">
      <c r="A291" s="33" t="s">
        <v>50</v>
      </c>
      <c r="B291" s="34" t="s">
        <v>504</v>
      </c>
      <c r="C291" s="34">
        <v>2020</v>
      </c>
      <c r="D291" s="35" t="s">
        <v>511</v>
      </c>
      <c r="E291" s="36">
        <v>2020</v>
      </c>
      <c r="F291" s="37" t="s">
        <v>113</v>
      </c>
      <c r="G291" s="38" t="s">
        <v>164</v>
      </c>
      <c r="H291" s="49">
        <v>0.25700000000000001</v>
      </c>
      <c r="I291" s="50">
        <v>0.30199999999999999</v>
      </c>
      <c r="J291" s="50">
        <v>0.27900000000000003</v>
      </c>
      <c r="K291" s="50">
        <v>0.20100000000000001</v>
      </c>
      <c r="L291" s="50">
        <v>0.23300000000000001</v>
      </c>
      <c r="M291" s="50">
        <v>0.316</v>
      </c>
      <c r="N291" s="50">
        <v>0.26100000000000001</v>
      </c>
      <c r="O291" s="50">
        <v>0.24199999999999999</v>
      </c>
      <c r="P291" s="50">
        <v>0.252</v>
      </c>
      <c r="Q291" s="50">
        <v>0.29699999999999999</v>
      </c>
      <c r="R291" s="50">
        <v>0.308</v>
      </c>
      <c r="S291" s="50">
        <v>0.22900000000000001</v>
      </c>
      <c r="T291" s="50">
        <v>0.32900000000000001</v>
      </c>
      <c r="U291" s="50">
        <v>0.33800000000000002</v>
      </c>
      <c r="V291" s="50">
        <v>0.25700000000000001</v>
      </c>
      <c r="W291" s="50">
        <v>0.29599999999999999</v>
      </c>
      <c r="X291" s="51">
        <v>0.157</v>
      </c>
    </row>
    <row r="292" spans="1:24" ht="20.45">
      <c r="A292" s="33" t="s">
        <v>50</v>
      </c>
      <c r="B292" s="34" t="s">
        <v>504</v>
      </c>
      <c r="C292" s="34">
        <v>2019</v>
      </c>
      <c r="D292" s="35" t="s">
        <v>512</v>
      </c>
      <c r="E292" s="36">
        <v>2019</v>
      </c>
      <c r="F292" s="37" t="s">
        <v>113</v>
      </c>
      <c r="G292" s="38" t="s">
        <v>164</v>
      </c>
      <c r="H292" s="49">
        <v>0.28399999999999997</v>
      </c>
      <c r="I292" s="50">
        <v>0.34200000000000003</v>
      </c>
      <c r="J292" s="50">
        <v>0.33700000000000002</v>
      </c>
      <c r="K292" s="50">
        <v>0.22900000000000001</v>
      </c>
      <c r="L292" s="50">
        <v>0.28000000000000003</v>
      </c>
      <c r="M292" s="50">
        <v>0.34799999999999998</v>
      </c>
      <c r="N292" s="50">
        <v>0.29399999999999998</v>
      </c>
      <c r="O292" s="50">
        <v>0.26300000000000001</v>
      </c>
      <c r="P292" s="50">
        <v>0.26200000000000001</v>
      </c>
      <c r="Q292" s="50">
        <v>0.32500000000000001</v>
      </c>
      <c r="R292" s="50">
        <v>0.33900000000000002</v>
      </c>
      <c r="S292" s="50">
        <v>0.25600000000000001</v>
      </c>
      <c r="T292" s="50">
        <v>0.36799999999999999</v>
      </c>
      <c r="U292" s="50">
        <v>0.36</v>
      </c>
      <c r="V292" s="50">
        <v>0.28399999999999997</v>
      </c>
      <c r="W292" s="50">
        <v>0.311</v>
      </c>
      <c r="X292" s="51">
        <v>0.184</v>
      </c>
    </row>
    <row r="293" spans="1:24" ht="20.45">
      <c r="A293" s="33" t="s">
        <v>50</v>
      </c>
      <c r="B293" s="34" t="s">
        <v>504</v>
      </c>
      <c r="C293" s="34">
        <v>2018</v>
      </c>
      <c r="D293" s="35" t="s">
        <v>513</v>
      </c>
      <c r="E293" s="36">
        <v>2018</v>
      </c>
      <c r="F293" s="37" t="s">
        <v>113</v>
      </c>
      <c r="G293" s="38" t="s">
        <v>164</v>
      </c>
      <c r="H293" s="49">
        <v>0.28399999999999997</v>
      </c>
      <c r="I293" s="50">
        <v>0.34499999999999997</v>
      </c>
      <c r="J293" s="50">
        <v>0.35899999999999999</v>
      </c>
      <c r="K293" s="50">
        <v>0.22800000000000001</v>
      </c>
      <c r="L293" s="50">
        <v>0.28299999999999997</v>
      </c>
      <c r="M293" s="50">
        <v>0.34300000000000003</v>
      </c>
      <c r="N293" s="50">
        <v>0.28799999999999998</v>
      </c>
      <c r="O293" s="50">
        <v>0.25700000000000001</v>
      </c>
      <c r="P293" s="50">
        <v>0.27300000000000002</v>
      </c>
      <c r="Q293" s="50">
        <v>0.307</v>
      </c>
      <c r="R293" s="50">
        <v>0.35799999999999998</v>
      </c>
      <c r="S293" s="50">
        <v>0.28000000000000003</v>
      </c>
      <c r="T293" s="50">
        <v>0.376</v>
      </c>
      <c r="U293" s="50">
        <v>0.36499999999999999</v>
      </c>
      <c r="V293" s="50">
        <v>0.30099999999999999</v>
      </c>
      <c r="W293" s="50">
        <v>0.29499999999999998</v>
      </c>
      <c r="X293" s="51">
        <v>0.19800000000000001</v>
      </c>
    </row>
    <row r="294" spans="1:24" ht="20.45">
      <c r="A294" s="33" t="s">
        <v>50</v>
      </c>
      <c r="B294" s="34" t="s">
        <v>504</v>
      </c>
      <c r="C294" s="34">
        <v>46199</v>
      </c>
      <c r="D294" s="35" t="s">
        <v>514</v>
      </c>
      <c r="E294" s="36" t="s">
        <v>468</v>
      </c>
      <c r="F294" s="37" t="s">
        <v>113</v>
      </c>
      <c r="G294" s="38" t="s">
        <v>164</v>
      </c>
      <c r="H294" s="49">
        <v>0.255</v>
      </c>
      <c r="I294" s="50">
        <v>0.311</v>
      </c>
      <c r="J294" s="50">
        <v>0.23699999999999999</v>
      </c>
      <c r="K294" s="50">
        <v>0.19800000000000001</v>
      </c>
      <c r="L294" s="50">
        <v>0.23200000000000001</v>
      </c>
      <c r="M294" s="50">
        <v>0.29299999999999998</v>
      </c>
      <c r="N294" s="50">
        <v>0.27700000000000002</v>
      </c>
      <c r="O294" s="50">
        <v>0.217</v>
      </c>
      <c r="P294" s="50">
        <v>0.313</v>
      </c>
      <c r="Q294" s="50">
        <v>0.316</v>
      </c>
      <c r="R294" s="50">
        <v>0.36199999999999999</v>
      </c>
      <c r="S294" s="50">
        <v>0.26400000000000001</v>
      </c>
      <c r="T294" s="50">
        <v>0.36899999999999999</v>
      </c>
      <c r="U294" s="50">
        <v>0.33</v>
      </c>
      <c r="V294" s="50">
        <v>0.26900000000000002</v>
      </c>
      <c r="W294" s="50">
        <v>0.25700000000000001</v>
      </c>
      <c r="X294" s="51">
        <v>0.17199999999999999</v>
      </c>
    </row>
    <row r="295" spans="1:24" ht="20.45">
      <c r="A295" s="33" t="s">
        <v>50</v>
      </c>
      <c r="B295" s="34" t="s">
        <v>504</v>
      </c>
      <c r="C295" s="34">
        <v>2025</v>
      </c>
      <c r="D295" s="35" t="s">
        <v>515</v>
      </c>
      <c r="E295" s="36">
        <v>2025</v>
      </c>
      <c r="F295" s="37" t="s">
        <v>113</v>
      </c>
      <c r="G295" s="38" t="s">
        <v>164</v>
      </c>
      <c r="H295" s="49">
        <v>0.249</v>
      </c>
      <c r="I295" s="50">
        <v>0.30399999999999999</v>
      </c>
      <c r="J295" s="50">
        <v>0.26600000000000001</v>
      </c>
      <c r="K295" s="50">
        <v>0.16</v>
      </c>
      <c r="L295" s="50">
        <v>0.26600000000000001</v>
      </c>
      <c r="M295" s="50">
        <v>0.28100000000000003</v>
      </c>
      <c r="N295" s="50">
        <v>0.27800000000000002</v>
      </c>
      <c r="O295" s="50">
        <v>0.21099999999999999</v>
      </c>
      <c r="P295" s="50">
        <v>0.27500000000000002</v>
      </c>
      <c r="Q295" s="50">
        <v>0.32</v>
      </c>
      <c r="R295" s="50">
        <v>0.32900000000000001</v>
      </c>
      <c r="S295" s="50">
        <v>0.248</v>
      </c>
      <c r="T295" s="50">
        <v>0.372</v>
      </c>
      <c r="U295" s="50">
        <v>0.32300000000000001</v>
      </c>
      <c r="V295" s="50">
        <v>0.27</v>
      </c>
      <c r="W295" s="50">
        <v>0.3</v>
      </c>
      <c r="X295" s="51">
        <v>0.187</v>
      </c>
    </row>
    <row r="296" spans="1:24" ht="20.45">
      <c r="A296" s="33" t="s">
        <v>50</v>
      </c>
      <c r="B296" s="34" t="s">
        <v>504</v>
      </c>
      <c r="C296" s="34">
        <v>2024</v>
      </c>
      <c r="D296" s="35" t="s">
        <v>516</v>
      </c>
      <c r="E296" s="36">
        <v>2024</v>
      </c>
      <c r="F296" s="37" t="s">
        <v>113</v>
      </c>
      <c r="G296" s="38" t="s">
        <v>164</v>
      </c>
      <c r="H296" s="49">
        <v>0.25600000000000001</v>
      </c>
      <c r="I296" s="50">
        <v>0.27900000000000003</v>
      </c>
      <c r="J296" s="50">
        <v>0.28599999999999998</v>
      </c>
      <c r="K296" s="50">
        <v>0.17299999999999999</v>
      </c>
      <c r="L296" s="50">
        <v>0.25900000000000001</v>
      </c>
      <c r="M296" s="50">
        <v>0.3</v>
      </c>
      <c r="N296" s="50">
        <v>0.27900000000000003</v>
      </c>
      <c r="O296" s="50">
        <v>0.218</v>
      </c>
      <c r="P296" s="50">
        <v>0.28699999999999998</v>
      </c>
      <c r="Q296" s="50">
        <v>0.318</v>
      </c>
      <c r="R296" s="50">
        <v>0.34599999999999997</v>
      </c>
      <c r="S296" s="50">
        <v>0.24399999999999999</v>
      </c>
      <c r="T296" s="50">
        <v>0.379</v>
      </c>
      <c r="U296" s="50">
        <v>0.31900000000000001</v>
      </c>
      <c r="V296" s="50">
        <v>0.30399999999999999</v>
      </c>
      <c r="W296" s="50">
        <v>0.316</v>
      </c>
      <c r="X296" s="51">
        <v>0.19</v>
      </c>
    </row>
    <row r="297" spans="1:24" ht="20.45">
      <c r="A297" s="33" t="s">
        <v>50</v>
      </c>
      <c r="B297" s="34" t="s">
        <v>504</v>
      </c>
      <c r="C297" s="34">
        <v>2023</v>
      </c>
      <c r="D297" s="35" t="s">
        <v>517</v>
      </c>
      <c r="E297" s="36">
        <v>2023</v>
      </c>
      <c r="F297" s="37" t="s">
        <v>113</v>
      </c>
      <c r="G297" s="38" t="s">
        <v>164</v>
      </c>
      <c r="H297" s="49">
        <v>0.26100000000000001</v>
      </c>
      <c r="I297" s="50">
        <v>0.32900000000000001</v>
      </c>
      <c r="J297" s="50">
        <v>0.314</v>
      </c>
      <c r="K297" s="50">
        <v>0.16400000000000001</v>
      </c>
      <c r="L297" s="50">
        <v>0.24399999999999999</v>
      </c>
      <c r="M297" s="50">
        <v>0.314</v>
      </c>
      <c r="N297" s="50">
        <v>0.28499999999999998</v>
      </c>
      <c r="O297" s="50">
        <v>0.224</v>
      </c>
      <c r="P297" s="50">
        <v>0.29499999999999998</v>
      </c>
      <c r="Q297" s="50">
        <v>0.32700000000000001</v>
      </c>
      <c r="R297" s="50">
        <v>0.34499999999999997</v>
      </c>
      <c r="S297" s="50">
        <v>0.25</v>
      </c>
      <c r="T297" s="50">
        <v>0.35899999999999999</v>
      </c>
      <c r="U297" s="50">
        <v>0.32900000000000001</v>
      </c>
      <c r="V297" s="50">
        <v>0.29799999999999999</v>
      </c>
      <c r="W297" s="50">
        <v>0.30199999999999999</v>
      </c>
      <c r="X297" s="51">
        <v>0.186</v>
      </c>
    </row>
    <row r="298" spans="1:24" ht="20.45">
      <c r="A298" s="33" t="s">
        <v>50</v>
      </c>
      <c r="B298" s="34" t="s">
        <v>504</v>
      </c>
      <c r="C298" s="34">
        <v>2022</v>
      </c>
      <c r="D298" s="35" t="s">
        <v>518</v>
      </c>
      <c r="E298" s="36">
        <v>2022</v>
      </c>
      <c r="F298" s="37" t="s">
        <v>113</v>
      </c>
      <c r="G298" s="38" t="s">
        <v>164</v>
      </c>
      <c r="H298" s="49">
        <v>0.26400000000000001</v>
      </c>
      <c r="I298" s="50">
        <v>0.30499999999999999</v>
      </c>
      <c r="J298" s="50">
        <v>0.29299999999999998</v>
      </c>
      <c r="K298" s="50">
        <v>0.184</v>
      </c>
      <c r="L298" s="50">
        <v>0.222</v>
      </c>
      <c r="M298" s="50">
        <v>0.32300000000000001</v>
      </c>
      <c r="N298" s="50">
        <v>0.26800000000000002</v>
      </c>
      <c r="O298" s="50">
        <v>0.23899999999999999</v>
      </c>
      <c r="P298" s="50">
        <v>0.28599999999999998</v>
      </c>
      <c r="Q298" s="50">
        <v>0.30299999999999999</v>
      </c>
      <c r="R298" s="50">
        <v>0.35399999999999998</v>
      </c>
      <c r="S298" s="50">
        <v>0.246</v>
      </c>
      <c r="T298" s="50">
        <v>0.36699999999999999</v>
      </c>
      <c r="U298" s="50">
        <v>0.32500000000000001</v>
      </c>
      <c r="V298" s="50">
        <v>0.29599999999999999</v>
      </c>
      <c r="W298" s="50">
        <v>0.29799999999999999</v>
      </c>
      <c r="X298" s="51">
        <v>0.20200000000000001</v>
      </c>
    </row>
    <row r="299" spans="1:24" ht="20.45">
      <c r="A299" s="33" t="s">
        <v>50</v>
      </c>
      <c r="B299" s="34" t="s">
        <v>504</v>
      </c>
      <c r="C299" s="34">
        <v>2021</v>
      </c>
      <c r="D299" s="35" t="s">
        <v>519</v>
      </c>
      <c r="E299" s="36">
        <v>2021</v>
      </c>
      <c r="F299" s="37" t="s">
        <v>113</v>
      </c>
      <c r="G299" s="38" t="s">
        <v>164</v>
      </c>
      <c r="H299" s="49">
        <v>0.26600000000000001</v>
      </c>
      <c r="I299" s="50">
        <v>0.28699999999999998</v>
      </c>
      <c r="J299" s="50">
        <v>0.26200000000000001</v>
      </c>
      <c r="K299" s="50">
        <v>0.2</v>
      </c>
      <c r="L299" s="50">
        <v>0.23200000000000001</v>
      </c>
      <c r="M299" s="50">
        <v>0.29199999999999998</v>
      </c>
      <c r="N299" s="50">
        <v>0.26900000000000002</v>
      </c>
      <c r="O299" s="50">
        <v>0.25800000000000001</v>
      </c>
      <c r="P299" s="50">
        <v>0.25900000000000001</v>
      </c>
      <c r="Q299" s="50">
        <v>0.30099999999999999</v>
      </c>
      <c r="R299" s="50">
        <v>0.32100000000000001</v>
      </c>
      <c r="S299" s="50">
        <v>0.23799999999999999</v>
      </c>
      <c r="T299" s="50">
        <v>0.32400000000000001</v>
      </c>
      <c r="U299" s="50">
        <v>0.34399999999999997</v>
      </c>
      <c r="V299" s="50">
        <v>0.28299999999999997</v>
      </c>
      <c r="W299" s="50">
        <v>0.30099999999999999</v>
      </c>
      <c r="X299" s="51">
        <v>0.186</v>
      </c>
    </row>
    <row r="300" spans="1:24" ht="20.45">
      <c r="A300" s="33" t="s">
        <v>50</v>
      </c>
      <c r="B300" s="34" t="s">
        <v>504</v>
      </c>
      <c r="C300" s="34">
        <v>2020</v>
      </c>
      <c r="D300" s="35" t="s">
        <v>520</v>
      </c>
      <c r="E300" s="36">
        <v>2020</v>
      </c>
      <c r="F300" s="37" t="s">
        <v>113</v>
      </c>
      <c r="G300" s="38" t="s">
        <v>164</v>
      </c>
      <c r="H300" s="49">
        <v>0.251</v>
      </c>
      <c r="I300" s="50">
        <v>0.26200000000000001</v>
      </c>
      <c r="J300" s="50">
        <v>0.26</v>
      </c>
      <c r="K300" s="50">
        <v>0.17399999999999999</v>
      </c>
      <c r="L300" s="50">
        <v>0.20200000000000001</v>
      </c>
      <c r="M300" s="50">
        <v>0.32100000000000001</v>
      </c>
      <c r="N300" s="50">
        <v>0.251</v>
      </c>
      <c r="O300" s="50">
        <v>0.23400000000000001</v>
      </c>
      <c r="P300" s="50">
        <v>0.253</v>
      </c>
      <c r="Q300" s="50">
        <v>0.30299999999999999</v>
      </c>
      <c r="R300" s="50">
        <v>0.30099999999999999</v>
      </c>
      <c r="S300" s="50">
        <v>0.216</v>
      </c>
      <c r="T300" s="50">
        <v>0.34599999999999997</v>
      </c>
      <c r="U300" s="50">
        <v>0.34899999999999998</v>
      </c>
      <c r="V300" s="50">
        <v>0.27200000000000002</v>
      </c>
      <c r="W300" s="50">
        <v>0.28399999999999997</v>
      </c>
      <c r="X300" s="51">
        <v>0.161</v>
      </c>
    </row>
    <row r="301" spans="1:24" ht="20.45">
      <c r="A301" s="33" t="s">
        <v>50</v>
      </c>
      <c r="B301" s="34" t="s">
        <v>504</v>
      </c>
      <c r="C301" s="34">
        <v>2019</v>
      </c>
      <c r="D301" s="35" t="s">
        <v>521</v>
      </c>
      <c r="E301" s="36">
        <v>2019</v>
      </c>
      <c r="F301" s="37" t="s">
        <v>113</v>
      </c>
      <c r="G301" s="38" t="s">
        <v>164</v>
      </c>
      <c r="H301" s="49">
        <v>0.27400000000000002</v>
      </c>
      <c r="I301" s="50">
        <v>0.31900000000000001</v>
      </c>
      <c r="J301" s="50">
        <v>0.32900000000000001</v>
      </c>
      <c r="K301" s="50">
        <v>0.21099999999999999</v>
      </c>
      <c r="L301" s="50">
        <v>0.253</v>
      </c>
      <c r="M301" s="50">
        <v>0.32</v>
      </c>
      <c r="N301" s="50">
        <v>0.27200000000000002</v>
      </c>
      <c r="O301" s="50">
        <v>0.254</v>
      </c>
      <c r="P301" s="50">
        <v>0.26200000000000001</v>
      </c>
      <c r="Q301" s="50">
        <v>0.316</v>
      </c>
      <c r="R301" s="50">
        <v>0.32400000000000001</v>
      </c>
      <c r="S301" s="50">
        <v>0.24</v>
      </c>
      <c r="T301" s="50">
        <v>0.378</v>
      </c>
      <c r="U301" s="50">
        <v>0.35799999999999998</v>
      </c>
      <c r="V301" s="50">
        <v>0.28899999999999998</v>
      </c>
      <c r="W301" s="50">
        <v>0.315</v>
      </c>
      <c r="X301" s="51">
        <v>0.17199999999999999</v>
      </c>
    </row>
    <row r="302" spans="1:24" ht="20.45">
      <c r="A302" s="33" t="s">
        <v>50</v>
      </c>
      <c r="B302" s="34" t="s">
        <v>504</v>
      </c>
      <c r="C302" s="34">
        <v>2018</v>
      </c>
      <c r="D302" s="35" t="s">
        <v>522</v>
      </c>
      <c r="E302" s="36">
        <v>2018</v>
      </c>
      <c r="F302" s="37" t="s">
        <v>113</v>
      </c>
      <c r="G302" s="38" t="s">
        <v>164</v>
      </c>
      <c r="H302" s="49">
        <v>0.27100000000000002</v>
      </c>
      <c r="I302" s="50">
        <v>0.314</v>
      </c>
      <c r="J302" s="50">
        <v>0.36599999999999999</v>
      </c>
      <c r="K302" s="50">
        <v>0.20799999999999999</v>
      </c>
      <c r="L302" s="50">
        <v>0.25800000000000001</v>
      </c>
      <c r="M302" s="50">
        <v>0.33</v>
      </c>
      <c r="N302" s="50">
        <v>0.27100000000000002</v>
      </c>
      <c r="O302" s="50">
        <v>0.23699999999999999</v>
      </c>
      <c r="P302" s="50">
        <v>0.27400000000000002</v>
      </c>
      <c r="Q302" s="50">
        <v>0.30599999999999999</v>
      </c>
      <c r="R302" s="50">
        <v>0.34699999999999998</v>
      </c>
      <c r="S302" s="50">
        <v>0.27</v>
      </c>
      <c r="T302" s="50">
        <v>0.38600000000000001</v>
      </c>
      <c r="U302" s="50">
        <v>0.33400000000000002</v>
      </c>
      <c r="V302" s="50">
        <v>0.29699999999999999</v>
      </c>
      <c r="W302" s="50">
        <v>0.28599999999999998</v>
      </c>
      <c r="X302" s="51">
        <v>0.20799999999999999</v>
      </c>
    </row>
    <row r="303" spans="1:24" ht="20.45">
      <c r="A303" s="33" t="s">
        <v>50</v>
      </c>
      <c r="B303" s="34" t="s">
        <v>504</v>
      </c>
      <c r="C303" s="34">
        <v>46199</v>
      </c>
      <c r="D303" s="35" t="s">
        <v>523</v>
      </c>
      <c r="E303" s="36" t="s">
        <v>468</v>
      </c>
      <c r="F303" s="37" t="s">
        <v>113</v>
      </c>
      <c r="G303" s="38" t="s">
        <v>164</v>
      </c>
      <c r="H303" s="49">
        <v>0.28899999999999998</v>
      </c>
      <c r="I303" s="50">
        <v>0.36699999999999999</v>
      </c>
      <c r="J303" s="50">
        <v>0.34200000000000003</v>
      </c>
      <c r="K303" s="50">
        <v>0.25800000000000001</v>
      </c>
      <c r="L303" s="50">
        <v>0.32900000000000001</v>
      </c>
      <c r="M303" s="50">
        <v>0.32600000000000001</v>
      </c>
      <c r="N303" s="50">
        <v>0.30499999999999999</v>
      </c>
      <c r="O303" s="50">
        <v>0.26100000000000001</v>
      </c>
      <c r="P303" s="50">
        <v>0.28899999999999998</v>
      </c>
      <c r="Q303" s="50">
        <v>0.30499999999999999</v>
      </c>
      <c r="R303" s="50">
        <v>0.371</v>
      </c>
      <c r="S303" s="50">
        <v>0.308</v>
      </c>
      <c r="T303" s="50">
        <v>0.34599999999999997</v>
      </c>
      <c r="U303" s="50">
        <v>0.34100000000000003</v>
      </c>
      <c r="V303" s="50">
        <v>0.29599999999999999</v>
      </c>
      <c r="W303" s="50">
        <v>0.29499999999999998</v>
      </c>
      <c r="X303" s="51">
        <v>0.26600000000000001</v>
      </c>
    </row>
    <row r="304" spans="1:24" ht="20.45">
      <c r="A304" s="33" t="s">
        <v>50</v>
      </c>
      <c r="B304" s="34" t="s">
        <v>504</v>
      </c>
      <c r="C304" s="34">
        <v>2025</v>
      </c>
      <c r="D304" s="35" t="s">
        <v>524</v>
      </c>
      <c r="E304" s="36">
        <v>2025</v>
      </c>
      <c r="F304" s="37" t="s">
        <v>113</v>
      </c>
      <c r="G304" s="38" t="s">
        <v>164</v>
      </c>
      <c r="H304" s="49">
        <v>0.27800000000000002</v>
      </c>
      <c r="I304" s="50">
        <v>0.34599999999999997</v>
      </c>
      <c r="J304" s="50">
        <v>0.34699999999999998</v>
      </c>
      <c r="K304" s="50">
        <v>0.22900000000000001</v>
      </c>
      <c r="L304" s="50">
        <v>0.32300000000000001</v>
      </c>
      <c r="M304" s="50">
        <v>0.317</v>
      </c>
      <c r="N304" s="50">
        <v>0.313</v>
      </c>
      <c r="O304" s="50">
        <v>0.251</v>
      </c>
      <c r="P304" s="50">
        <v>0.30299999999999999</v>
      </c>
      <c r="Q304" s="50">
        <v>0.32100000000000001</v>
      </c>
      <c r="R304" s="50">
        <v>0.318</v>
      </c>
      <c r="S304" s="50">
        <v>0.27400000000000002</v>
      </c>
      <c r="T304" s="50">
        <v>0.33700000000000002</v>
      </c>
      <c r="U304" s="50">
        <v>0.31900000000000001</v>
      </c>
      <c r="V304" s="50">
        <v>0.25700000000000001</v>
      </c>
      <c r="W304" s="50">
        <v>0.29199999999999998</v>
      </c>
      <c r="X304" s="51">
        <v>0.218</v>
      </c>
    </row>
    <row r="305" spans="1:24" ht="20.45">
      <c r="A305" s="33" t="s">
        <v>50</v>
      </c>
      <c r="B305" s="34" t="s">
        <v>504</v>
      </c>
      <c r="C305" s="34">
        <v>2024</v>
      </c>
      <c r="D305" s="35" t="s">
        <v>525</v>
      </c>
      <c r="E305" s="36">
        <v>2024</v>
      </c>
      <c r="F305" s="37" t="s">
        <v>113</v>
      </c>
      <c r="G305" s="38" t="s">
        <v>164</v>
      </c>
      <c r="H305" s="49">
        <v>0.28699999999999998</v>
      </c>
      <c r="I305" s="50">
        <v>0.35199999999999998</v>
      </c>
      <c r="J305" s="50">
        <v>0.34200000000000003</v>
      </c>
      <c r="K305" s="50">
        <v>0.248</v>
      </c>
      <c r="L305" s="50">
        <v>0.34200000000000003</v>
      </c>
      <c r="M305" s="50">
        <v>0.34100000000000003</v>
      </c>
      <c r="N305" s="50">
        <v>0.32</v>
      </c>
      <c r="O305" s="50">
        <v>0.25700000000000001</v>
      </c>
      <c r="P305" s="50">
        <v>0.29099999999999998</v>
      </c>
      <c r="Q305" s="50">
        <v>0.32900000000000001</v>
      </c>
      <c r="R305" s="50">
        <v>0.34699999999999998</v>
      </c>
      <c r="S305" s="50">
        <v>0.28699999999999998</v>
      </c>
      <c r="T305" s="50">
        <v>0.36799999999999999</v>
      </c>
      <c r="U305" s="50">
        <v>0.34799999999999998</v>
      </c>
      <c r="V305" s="50">
        <v>0.26</v>
      </c>
      <c r="W305" s="50">
        <v>0.29699999999999999</v>
      </c>
      <c r="X305" s="51">
        <v>0.22600000000000001</v>
      </c>
    </row>
    <row r="306" spans="1:24" ht="20.45">
      <c r="A306" s="33" t="s">
        <v>50</v>
      </c>
      <c r="B306" s="34" t="s">
        <v>504</v>
      </c>
      <c r="C306" s="34">
        <v>2023</v>
      </c>
      <c r="D306" s="35" t="s">
        <v>526</v>
      </c>
      <c r="E306" s="36">
        <v>2023</v>
      </c>
      <c r="F306" s="37" t="s">
        <v>113</v>
      </c>
      <c r="G306" s="38" t="s">
        <v>164</v>
      </c>
      <c r="H306" s="49">
        <v>0.28699999999999998</v>
      </c>
      <c r="I306" s="50">
        <v>0.38800000000000001</v>
      </c>
      <c r="J306" s="50">
        <v>0.371</v>
      </c>
      <c r="K306" s="50">
        <v>0.25600000000000001</v>
      </c>
      <c r="L306" s="50">
        <v>0.32700000000000001</v>
      </c>
      <c r="M306" s="50">
        <v>0.32200000000000001</v>
      </c>
      <c r="N306" s="50">
        <v>0.31900000000000001</v>
      </c>
      <c r="O306" s="50">
        <v>0.254</v>
      </c>
      <c r="P306" s="50">
        <v>0.28100000000000003</v>
      </c>
      <c r="Q306" s="50">
        <v>0.34100000000000003</v>
      </c>
      <c r="R306" s="50">
        <v>0.376</v>
      </c>
      <c r="S306" s="50">
        <v>0.28899999999999998</v>
      </c>
      <c r="T306" s="50">
        <v>0.36199999999999999</v>
      </c>
      <c r="U306" s="50">
        <v>0.34</v>
      </c>
      <c r="V306" s="50">
        <v>0.26300000000000001</v>
      </c>
      <c r="W306" s="50">
        <v>0.31900000000000001</v>
      </c>
      <c r="X306" s="51">
        <v>0.19900000000000001</v>
      </c>
    </row>
    <row r="307" spans="1:24" ht="20.45">
      <c r="A307" s="33" t="s">
        <v>50</v>
      </c>
      <c r="B307" s="34" t="s">
        <v>504</v>
      </c>
      <c r="C307" s="34">
        <v>2022</v>
      </c>
      <c r="D307" s="35" t="s">
        <v>527</v>
      </c>
      <c r="E307" s="36">
        <v>2022</v>
      </c>
      <c r="F307" s="37" t="s">
        <v>113</v>
      </c>
      <c r="G307" s="38" t="s">
        <v>164</v>
      </c>
      <c r="H307" s="49">
        <v>0.28299999999999997</v>
      </c>
      <c r="I307" s="50">
        <v>0.379</v>
      </c>
      <c r="J307" s="50">
        <v>0.4</v>
      </c>
      <c r="K307" s="50">
        <v>0.28100000000000003</v>
      </c>
      <c r="L307" s="50">
        <v>0.30599999999999999</v>
      </c>
      <c r="M307" s="50">
        <v>0.311</v>
      </c>
      <c r="N307" s="50">
        <v>0.317</v>
      </c>
      <c r="O307" s="50">
        <v>0.254</v>
      </c>
      <c r="P307" s="50">
        <v>0.28100000000000003</v>
      </c>
      <c r="Q307" s="50">
        <v>0.30299999999999999</v>
      </c>
      <c r="R307" s="50">
        <v>0.35099999999999998</v>
      </c>
      <c r="S307" s="50">
        <v>0.26800000000000002</v>
      </c>
      <c r="T307" s="50">
        <v>0.35199999999999998</v>
      </c>
      <c r="U307" s="50">
        <v>0.33800000000000002</v>
      </c>
      <c r="V307" s="50">
        <v>0.26200000000000001</v>
      </c>
      <c r="W307" s="50">
        <v>0.32500000000000001</v>
      </c>
      <c r="X307" s="51">
        <v>0.19600000000000001</v>
      </c>
    </row>
    <row r="308" spans="1:24" ht="20.45">
      <c r="A308" s="33" t="s">
        <v>50</v>
      </c>
      <c r="B308" s="34" t="s">
        <v>504</v>
      </c>
      <c r="C308" s="34">
        <v>2021</v>
      </c>
      <c r="D308" s="35" t="s">
        <v>528</v>
      </c>
      <c r="E308" s="36">
        <v>2021</v>
      </c>
      <c r="F308" s="37" t="s">
        <v>113</v>
      </c>
      <c r="G308" s="38" t="s">
        <v>164</v>
      </c>
      <c r="H308" s="49">
        <v>0.28100000000000003</v>
      </c>
      <c r="I308" s="50">
        <v>0.372</v>
      </c>
      <c r="J308" s="50">
        <v>0.34499999999999997</v>
      </c>
      <c r="K308" s="50">
        <v>0.28100000000000003</v>
      </c>
      <c r="L308" s="50">
        <v>0.30399999999999999</v>
      </c>
      <c r="M308" s="50">
        <v>0.29899999999999999</v>
      </c>
      <c r="N308" s="50">
        <v>0.3</v>
      </c>
      <c r="O308" s="50">
        <v>0.27</v>
      </c>
      <c r="P308" s="50">
        <v>0.27700000000000002</v>
      </c>
      <c r="Q308" s="50">
        <v>0.28000000000000003</v>
      </c>
      <c r="R308" s="50">
        <v>0.33800000000000002</v>
      </c>
      <c r="S308" s="50">
        <v>0.26800000000000002</v>
      </c>
      <c r="T308" s="50">
        <v>0.308</v>
      </c>
      <c r="U308" s="50">
        <v>0.315</v>
      </c>
      <c r="V308" s="50">
        <v>0.23300000000000001</v>
      </c>
      <c r="W308" s="50">
        <v>0.33700000000000002</v>
      </c>
      <c r="X308" s="51">
        <v>0.193</v>
      </c>
    </row>
    <row r="309" spans="1:24" ht="20.45">
      <c r="A309" s="33" t="s">
        <v>50</v>
      </c>
      <c r="B309" s="34" t="s">
        <v>504</v>
      </c>
      <c r="C309" s="34">
        <v>2020</v>
      </c>
      <c r="D309" s="35" t="s">
        <v>529</v>
      </c>
      <c r="E309" s="36">
        <v>2020</v>
      </c>
      <c r="F309" s="37" t="s">
        <v>113</v>
      </c>
      <c r="G309" s="38" t="s">
        <v>164</v>
      </c>
      <c r="H309" s="49">
        <v>0.26500000000000001</v>
      </c>
      <c r="I309" s="50">
        <v>0.36699999999999999</v>
      </c>
      <c r="J309" s="50">
        <v>0.307</v>
      </c>
      <c r="K309" s="50">
        <v>0.24199999999999999</v>
      </c>
      <c r="L309" s="50">
        <v>0.28299999999999997</v>
      </c>
      <c r="M309" s="50">
        <v>0.309</v>
      </c>
      <c r="N309" s="50">
        <v>0.27600000000000002</v>
      </c>
      <c r="O309" s="50">
        <v>0.254</v>
      </c>
      <c r="P309" s="50">
        <v>0.25</v>
      </c>
      <c r="Q309" s="50">
        <v>0.28799999999999998</v>
      </c>
      <c r="R309" s="50">
        <v>0.317</v>
      </c>
      <c r="S309" s="50">
        <v>0.248</v>
      </c>
      <c r="T309" s="50">
        <v>0.30399999999999999</v>
      </c>
      <c r="U309" s="50">
        <v>0.32</v>
      </c>
      <c r="V309" s="50">
        <v>0.23200000000000001</v>
      </c>
      <c r="W309" s="50">
        <v>0.312</v>
      </c>
      <c r="X309" s="51">
        <v>0.152</v>
      </c>
    </row>
    <row r="310" spans="1:24" ht="20.45">
      <c r="A310" s="33" t="s">
        <v>50</v>
      </c>
      <c r="B310" s="34" t="s">
        <v>504</v>
      </c>
      <c r="C310" s="34">
        <v>2019</v>
      </c>
      <c r="D310" s="35" t="s">
        <v>530</v>
      </c>
      <c r="E310" s="36">
        <v>2019</v>
      </c>
      <c r="F310" s="37" t="s">
        <v>113</v>
      </c>
      <c r="G310" s="38" t="s">
        <v>164</v>
      </c>
      <c r="H310" s="49">
        <v>0.29699999999999999</v>
      </c>
      <c r="I310" s="50">
        <v>0.372</v>
      </c>
      <c r="J310" s="50">
        <v>0.35</v>
      </c>
      <c r="K310" s="50">
        <v>0.25700000000000001</v>
      </c>
      <c r="L310" s="50">
        <v>0.318</v>
      </c>
      <c r="M310" s="50">
        <v>0.38600000000000001</v>
      </c>
      <c r="N310" s="50">
        <v>0.32500000000000001</v>
      </c>
      <c r="O310" s="50">
        <v>0.27400000000000002</v>
      </c>
      <c r="P310" s="50">
        <v>0.26100000000000001</v>
      </c>
      <c r="Q310" s="50">
        <v>0.33900000000000002</v>
      </c>
      <c r="R310" s="50">
        <v>0.36099999999999999</v>
      </c>
      <c r="S310" s="50">
        <v>0.27800000000000002</v>
      </c>
      <c r="T310" s="50">
        <v>0.35299999999999998</v>
      </c>
      <c r="U310" s="50">
        <v>0.36299999999999999</v>
      </c>
      <c r="V310" s="50">
        <v>0.27700000000000002</v>
      </c>
      <c r="W310" s="50">
        <v>0.307</v>
      </c>
      <c r="X310" s="51">
        <v>0.20200000000000001</v>
      </c>
    </row>
    <row r="311" spans="1:24" ht="20.45">
      <c r="A311" s="33" t="s">
        <v>50</v>
      </c>
      <c r="B311" s="34" t="s">
        <v>504</v>
      </c>
      <c r="C311" s="34">
        <v>2018</v>
      </c>
      <c r="D311" s="35" t="s">
        <v>531</v>
      </c>
      <c r="E311" s="36">
        <v>2018</v>
      </c>
      <c r="F311" s="37" t="s">
        <v>113</v>
      </c>
      <c r="G311" s="38" t="s">
        <v>164</v>
      </c>
      <c r="H311" s="49">
        <v>0.30199999999999999</v>
      </c>
      <c r="I311" s="50">
        <v>0.39100000000000001</v>
      </c>
      <c r="J311" s="50">
        <v>0.35</v>
      </c>
      <c r="K311" s="50">
        <v>0.25800000000000001</v>
      </c>
      <c r="L311" s="50">
        <v>0.31900000000000001</v>
      </c>
      <c r="M311" s="50">
        <v>0.36099999999999999</v>
      </c>
      <c r="N311" s="50">
        <v>0.312</v>
      </c>
      <c r="O311" s="50">
        <v>0.28299999999999997</v>
      </c>
      <c r="P311" s="50">
        <v>0.27200000000000002</v>
      </c>
      <c r="Q311" s="50">
        <v>0.308</v>
      </c>
      <c r="R311" s="50">
        <v>0.376</v>
      </c>
      <c r="S311" s="50">
        <v>0.29299999999999998</v>
      </c>
      <c r="T311" s="50">
        <v>0.36199999999999999</v>
      </c>
      <c r="U311" s="50">
        <v>0.40899999999999997</v>
      </c>
      <c r="V311" s="50">
        <v>0.307</v>
      </c>
      <c r="W311" s="50">
        <v>0.30599999999999999</v>
      </c>
      <c r="X311" s="51">
        <v>0.184</v>
      </c>
    </row>
    <row r="312" spans="1:24" ht="59.45">
      <c r="A312" s="33" t="s">
        <v>50</v>
      </c>
      <c r="B312" s="34" t="s">
        <v>532</v>
      </c>
      <c r="C312" s="34" t="s">
        <v>948</v>
      </c>
      <c r="D312" s="35" t="s">
        <v>533</v>
      </c>
      <c r="E312" s="36">
        <v>2025</v>
      </c>
      <c r="F312" s="37" t="s">
        <v>113</v>
      </c>
      <c r="G312" s="38" t="s">
        <v>534</v>
      </c>
      <c r="H312" s="49">
        <v>5.8000000000000003E-2</v>
      </c>
      <c r="I312" s="50">
        <v>6.3E-2</v>
      </c>
      <c r="J312" s="50">
        <v>2.4E-2</v>
      </c>
      <c r="K312" s="50">
        <v>8.0000000000000002E-3</v>
      </c>
      <c r="L312" s="50">
        <v>4.8000000000000001E-2</v>
      </c>
      <c r="M312" s="50">
        <v>8.8999999999999996E-2</v>
      </c>
      <c r="N312" s="50">
        <v>4.5999999999999999E-2</v>
      </c>
      <c r="O312" s="50">
        <v>1.4999999999999999E-2</v>
      </c>
      <c r="P312" s="50">
        <v>0.158</v>
      </c>
      <c r="Q312" s="50">
        <v>0.18099999999999999</v>
      </c>
      <c r="R312" s="50">
        <v>0.14000000000000001</v>
      </c>
      <c r="S312" s="50">
        <v>0.06</v>
      </c>
      <c r="T312" s="50">
        <v>0.129</v>
      </c>
      <c r="U312" s="50">
        <v>0.11600000000000001</v>
      </c>
      <c r="V312" s="50">
        <v>0.126</v>
      </c>
      <c r="W312" s="50">
        <v>9.6000000000000002E-2</v>
      </c>
      <c r="X312" s="51">
        <v>4.8000000000000001E-2</v>
      </c>
    </row>
    <row r="313" spans="1:24" ht="59.45">
      <c r="A313" s="33" t="s">
        <v>50</v>
      </c>
      <c r="B313" s="34" t="s">
        <v>532</v>
      </c>
      <c r="C313" s="34" t="s">
        <v>949</v>
      </c>
      <c r="D313" s="35" t="s">
        <v>535</v>
      </c>
      <c r="E313" s="36">
        <v>2025</v>
      </c>
      <c r="F313" s="37" t="s">
        <v>113</v>
      </c>
      <c r="G313" s="38" t="s">
        <v>534</v>
      </c>
      <c r="H313" s="49">
        <v>3.2000000000000001E-2</v>
      </c>
      <c r="I313" s="50">
        <v>6.8000000000000005E-2</v>
      </c>
      <c r="J313" s="50">
        <v>9.9000000000000005E-2</v>
      </c>
      <c r="K313" s="50">
        <v>0.191</v>
      </c>
      <c r="L313" s="50">
        <v>0.182</v>
      </c>
      <c r="M313" s="50">
        <v>0.125</v>
      </c>
      <c r="N313" s="50">
        <v>3.7999999999999999E-2</v>
      </c>
      <c r="O313" s="50">
        <v>0.01</v>
      </c>
      <c r="P313" s="50">
        <v>4.9000000000000002E-2</v>
      </c>
      <c r="Q313" s="50">
        <v>1.2999999999999999E-2</v>
      </c>
      <c r="R313" s="50">
        <v>1.4999999999999999E-2</v>
      </c>
      <c r="S313" s="50">
        <v>2.5999999999999999E-2</v>
      </c>
      <c r="T313" s="50">
        <v>5.0000000000000001E-3</v>
      </c>
      <c r="U313" s="50">
        <v>3.0000000000000001E-3</v>
      </c>
      <c r="V313" s="50">
        <v>1E-3</v>
      </c>
      <c r="W313" s="50">
        <v>8.9999999999999993E-3</v>
      </c>
      <c r="X313" s="51">
        <v>1.7000000000000001E-2</v>
      </c>
    </row>
    <row r="314" spans="1:24" ht="59.45">
      <c r="A314" s="33" t="s">
        <v>50</v>
      </c>
      <c r="B314" s="34" t="s">
        <v>532</v>
      </c>
      <c r="C314" s="34" t="s">
        <v>950</v>
      </c>
      <c r="D314" s="35" t="s">
        <v>536</v>
      </c>
      <c r="E314" s="36">
        <v>2025</v>
      </c>
      <c r="F314" s="37" t="s">
        <v>113</v>
      </c>
      <c r="G314" s="38" t="s">
        <v>534</v>
      </c>
      <c r="H314" s="49">
        <v>9.6000000000000002E-2</v>
      </c>
      <c r="I314" s="50">
        <v>5.2999999999999999E-2</v>
      </c>
      <c r="J314" s="50">
        <v>5.8000000000000003E-2</v>
      </c>
      <c r="K314" s="50">
        <v>7.9000000000000001E-2</v>
      </c>
      <c r="L314" s="50">
        <v>7.5999999999999998E-2</v>
      </c>
      <c r="M314" s="50">
        <v>5.8000000000000003E-2</v>
      </c>
      <c r="N314" s="50">
        <v>6.9000000000000006E-2</v>
      </c>
      <c r="O314" s="50">
        <v>0.1</v>
      </c>
      <c r="P314" s="50">
        <v>0.105</v>
      </c>
      <c r="Q314" s="50">
        <v>9.5000000000000001E-2</v>
      </c>
      <c r="R314" s="50">
        <v>9.4E-2</v>
      </c>
      <c r="S314" s="50">
        <v>0.13100000000000001</v>
      </c>
      <c r="T314" s="50">
        <v>9.4E-2</v>
      </c>
      <c r="U314" s="50">
        <v>9.6000000000000002E-2</v>
      </c>
      <c r="V314" s="50">
        <v>0.13600000000000001</v>
      </c>
      <c r="W314" s="50">
        <v>7.3999999999999996E-2</v>
      </c>
      <c r="X314" s="51">
        <v>8.4000000000000005E-2</v>
      </c>
    </row>
    <row r="315" spans="1:24" ht="59.45">
      <c r="A315" s="33" t="s">
        <v>50</v>
      </c>
      <c r="B315" s="34" t="s">
        <v>532</v>
      </c>
      <c r="C315" s="34" t="s">
        <v>951</v>
      </c>
      <c r="D315" s="35" t="s">
        <v>537</v>
      </c>
      <c r="E315" s="36">
        <v>2025</v>
      </c>
      <c r="F315" s="37" t="s">
        <v>113</v>
      </c>
      <c r="G315" s="38" t="s">
        <v>534</v>
      </c>
      <c r="H315" s="49">
        <v>5.0000000000000001E-3</v>
      </c>
      <c r="I315" s="50">
        <v>3.0000000000000001E-3</v>
      </c>
      <c r="J315" s="50">
        <v>4.0000000000000001E-3</v>
      </c>
      <c r="K315" s="50">
        <v>1.0999999999999999E-2</v>
      </c>
      <c r="L315" s="50">
        <v>8.9999999999999993E-3</v>
      </c>
      <c r="M315" s="50">
        <v>5.0000000000000001E-3</v>
      </c>
      <c r="N315" s="50">
        <v>4.0000000000000001E-3</v>
      </c>
      <c r="O315" s="50">
        <v>5.0000000000000001E-3</v>
      </c>
      <c r="P315" s="50">
        <v>3.0000000000000001E-3</v>
      </c>
      <c r="Q315" s="50">
        <v>5.0000000000000001E-3</v>
      </c>
      <c r="R315" s="50">
        <v>6.0000000000000001E-3</v>
      </c>
      <c r="S315" s="50">
        <v>8.0000000000000002E-3</v>
      </c>
      <c r="T315" s="50">
        <v>5.0000000000000001E-3</v>
      </c>
      <c r="U315" s="50">
        <v>5.0000000000000001E-3</v>
      </c>
      <c r="V315" s="50">
        <v>6.0000000000000001E-3</v>
      </c>
      <c r="W315" s="50">
        <v>7.0000000000000001E-3</v>
      </c>
      <c r="X315" s="51">
        <v>6.0000000000000001E-3</v>
      </c>
    </row>
    <row r="316" spans="1:24" ht="59.45">
      <c r="A316" s="33" t="s">
        <v>50</v>
      </c>
      <c r="B316" s="34" t="s">
        <v>532</v>
      </c>
      <c r="C316" s="34" t="s">
        <v>952</v>
      </c>
      <c r="D316" s="35" t="s">
        <v>538</v>
      </c>
      <c r="E316" s="36">
        <v>2025</v>
      </c>
      <c r="F316" s="37" t="s">
        <v>113</v>
      </c>
      <c r="G316" s="38" t="s">
        <v>534</v>
      </c>
      <c r="H316" s="49">
        <v>8.0000000000000002E-3</v>
      </c>
      <c r="I316" s="50">
        <v>4.0000000000000001E-3</v>
      </c>
      <c r="J316" s="50">
        <v>7.0000000000000001E-3</v>
      </c>
      <c r="K316" s="50">
        <v>8.9999999999999993E-3</v>
      </c>
      <c r="L316" s="50">
        <v>1.6E-2</v>
      </c>
      <c r="M316" s="50">
        <v>0.01</v>
      </c>
      <c r="N316" s="50">
        <v>8.0000000000000002E-3</v>
      </c>
      <c r="O316" s="50">
        <v>7.0000000000000001E-3</v>
      </c>
      <c r="P316" s="50">
        <v>8.0000000000000002E-3</v>
      </c>
      <c r="Q316" s="50">
        <v>8.9999999999999993E-3</v>
      </c>
      <c r="R316" s="50">
        <v>8.0000000000000002E-3</v>
      </c>
      <c r="S316" s="50">
        <v>8.0000000000000002E-3</v>
      </c>
      <c r="T316" s="50">
        <v>7.0000000000000001E-3</v>
      </c>
      <c r="U316" s="50">
        <v>6.0000000000000001E-3</v>
      </c>
      <c r="V316" s="50">
        <v>6.0000000000000001E-3</v>
      </c>
      <c r="W316" s="50">
        <v>5.0000000000000001E-3</v>
      </c>
      <c r="X316" s="51">
        <v>7.0000000000000001E-3</v>
      </c>
    </row>
    <row r="317" spans="1:24" ht="59.45">
      <c r="A317" s="33" t="s">
        <v>50</v>
      </c>
      <c r="B317" s="34" t="s">
        <v>532</v>
      </c>
      <c r="C317" s="34" t="s">
        <v>80</v>
      </c>
      <c r="D317" s="35" t="s">
        <v>539</v>
      </c>
      <c r="E317" s="36">
        <v>2025</v>
      </c>
      <c r="F317" s="37" t="s">
        <v>113</v>
      </c>
      <c r="G317" s="38" t="s">
        <v>534</v>
      </c>
      <c r="H317" s="49">
        <v>7.6999999999999999E-2</v>
      </c>
      <c r="I317" s="50">
        <v>7.4999999999999997E-2</v>
      </c>
      <c r="J317" s="50">
        <v>6.7000000000000004E-2</v>
      </c>
      <c r="K317" s="50">
        <v>6.8000000000000005E-2</v>
      </c>
      <c r="L317" s="50">
        <v>7.3999999999999996E-2</v>
      </c>
      <c r="M317" s="50">
        <v>7.1999999999999995E-2</v>
      </c>
      <c r="N317" s="50">
        <v>8.4000000000000005E-2</v>
      </c>
      <c r="O317" s="50">
        <v>7.2999999999999995E-2</v>
      </c>
      <c r="P317" s="50">
        <v>6.8000000000000005E-2</v>
      </c>
      <c r="Q317" s="50">
        <v>7.5999999999999998E-2</v>
      </c>
      <c r="R317" s="50">
        <v>9.0999999999999998E-2</v>
      </c>
      <c r="S317" s="50">
        <v>8.1000000000000003E-2</v>
      </c>
      <c r="T317" s="50">
        <v>9.5000000000000001E-2</v>
      </c>
      <c r="U317" s="50">
        <v>8.5000000000000006E-2</v>
      </c>
      <c r="V317" s="50">
        <v>8.2000000000000003E-2</v>
      </c>
      <c r="W317" s="50">
        <v>0.107</v>
      </c>
      <c r="X317" s="51">
        <v>9.8000000000000004E-2</v>
      </c>
    </row>
    <row r="318" spans="1:24" ht="59.45">
      <c r="A318" s="33" t="s">
        <v>50</v>
      </c>
      <c r="B318" s="34" t="s">
        <v>532</v>
      </c>
      <c r="C318" s="34" t="s">
        <v>953</v>
      </c>
      <c r="D318" s="35" t="s">
        <v>540</v>
      </c>
      <c r="E318" s="36">
        <v>2025</v>
      </c>
      <c r="F318" s="37" t="s">
        <v>113</v>
      </c>
      <c r="G318" s="38" t="s">
        <v>534</v>
      </c>
      <c r="H318" s="49">
        <v>0.186</v>
      </c>
      <c r="I318" s="50">
        <v>0.193</v>
      </c>
      <c r="J318" s="50">
        <v>0.20599999999999999</v>
      </c>
      <c r="K318" s="50">
        <v>0.14099999999999999</v>
      </c>
      <c r="L318" s="50">
        <v>0.16800000000000001</v>
      </c>
      <c r="M318" s="50">
        <v>0.16900000000000001</v>
      </c>
      <c r="N318" s="50">
        <v>0.183</v>
      </c>
      <c r="O318" s="50">
        <v>0.19700000000000001</v>
      </c>
      <c r="P318" s="50">
        <v>0.20100000000000001</v>
      </c>
      <c r="Q318" s="50">
        <v>0.19800000000000001</v>
      </c>
      <c r="R318" s="50">
        <v>0.156</v>
      </c>
      <c r="S318" s="50">
        <v>0.16200000000000001</v>
      </c>
      <c r="T318" s="50">
        <v>0.191</v>
      </c>
      <c r="U318" s="50">
        <v>0.14599999999999999</v>
      </c>
      <c r="V318" s="50">
        <v>0.17499999999999999</v>
      </c>
      <c r="W318" s="50">
        <v>0.14599999999999999</v>
      </c>
      <c r="X318" s="51">
        <v>0.17399999999999999</v>
      </c>
    </row>
    <row r="319" spans="1:24" ht="59.45">
      <c r="A319" s="33" t="s">
        <v>50</v>
      </c>
      <c r="B319" s="34" t="s">
        <v>532</v>
      </c>
      <c r="C319" s="34" t="s">
        <v>954</v>
      </c>
      <c r="D319" s="35" t="s">
        <v>541</v>
      </c>
      <c r="E319" s="36">
        <v>2025</v>
      </c>
      <c r="F319" s="37" t="s">
        <v>113</v>
      </c>
      <c r="G319" s="38" t="s">
        <v>534</v>
      </c>
      <c r="H319" s="49">
        <v>6.4000000000000001E-2</v>
      </c>
      <c r="I319" s="50">
        <v>8.1000000000000003E-2</v>
      </c>
      <c r="J319" s="50">
        <v>7.8E-2</v>
      </c>
      <c r="K319" s="50">
        <v>8.8999999999999996E-2</v>
      </c>
      <c r="L319" s="50">
        <v>0.06</v>
      </c>
      <c r="M319" s="50">
        <v>5.2999999999999999E-2</v>
      </c>
      <c r="N319" s="50">
        <v>7.6999999999999999E-2</v>
      </c>
      <c r="O319" s="50">
        <v>6.6000000000000003E-2</v>
      </c>
      <c r="P319" s="50">
        <v>4.2999999999999997E-2</v>
      </c>
      <c r="Q319" s="50">
        <v>0.05</v>
      </c>
      <c r="R319" s="50">
        <v>4.7E-2</v>
      </c>
      <c r="S319" s="50">
        <v>6.0999999999999999E-2</v>
      </c>
      <c r="T319" s="50">
        <v>5.3999999999999999E-2</v>
      </c>
      <c r="U319" s="50">
        <v>4.7E-2</v>
      </c>
      <c r="V319" s="50">
        <v>6.0999999999999999E-2</v>
      </c>
      <c r="W319" s="50">
        <v>5.6000000000000001E-2</v>
      </c>
      <c r="X319" s="51">
        <v>9.1999999999999998E-2</v>
      </c>
    </row>
    <row r="320" spans="1:24" ht="59.45">
      <c r="A320" s="33" t="s">
        <v>50</v>
      </c>
      <c r="B320" s="34" t="s">
        <v>532</v>
      </c>
      <c r="C320" s="34" t="s">
        <v>955</v>
      </c>
      <c r="D320" s="35" t="s">
        <v>542</v>
      </c>
      <c r="E320" s="36">
        <v>2025</v>
      </c>
      <c r="F320" s="37" t="s">
        <v>113</v>
      </c>
      <c r="G320" s="38" t="s">
        <v>534</v>
      </c>
      <c r="H320" s="49">
        <v>4.8000000000000001E-2</v>
      </c>
      <c r="I320" s="50">
        <v>5.2999999999999999E-2</v>
      </c>
      <c r="J320" s="50">
        <v>5.0999999999999997E-2</v>
      </c>
      <c r="K320" s="50">
        <v>4.4999999999999998E-2</v>
      </c>
      <c r="L320" s="50">
        <v>5.0999999999999997E-2</v>
      </c>
      <c r="M320" s="50">
        <v>5.3999999999999999E-2</v>
      </c>
      <c r="N320" s="50">
        <v>0.05</v>
      </c>
      <c r="O320" s="50">
        <v>4.9000000000000002E-2</v>
      </c>
      <c r="P320" s="50">
        <v>3.5999999999999997E-2</v>
      </c>
      <c r="Q320" s="50">
        <v>4.4999999999999998E-2</v>
      </c>
      <c r="R320" s="50">
        <v>4.7E-2</v>
      </c>
      <c r="S320" s="50">
        <v>4.1000000000000002E-2</v>
      </c>
      <c r="T320" s="50">
        <v>0.05</v>
      </c>
      <c r="U320" s="50">
        <v>5.3999999999999999E-2</v>
      </c>
      <c r="V320" s="50">
        <v>4.5999999999999999E-2</v>
      </c>
      <c r="W320" s="50">
        <v>6.6000000000000003E-2</v>
      </c>
      <c r="X320" s="51">
        <v>6.5000000000000002E-2</v>
      </c>
    </row>
    <row r="321" spans="1:24" ht="59.45">
      <c r="A321" s="33" t="s">
        <v>50</v>
      </c>
      <c r="B321" s="34" t="s">
        <v>532</v>
      </c>
      <c r="C321" s="34" t="s">
        <v>956</v>
      </c>
      <c r="D321" s="35" t="s">
        <v>543</v>
      </c>
      <c r="E321" s="36">
        <v>2025</v>
      </c>
      <c r="F321" s="37" t="s">
        <v>113</v>
      </c>
      <c r="G321" s="38" t="s">
        <v>534</v>
      </c>
      <c r="H321" s="49">
        <v>2.4E-2</v>
      </c>
      <c r="I321" s="50">
        <v>7.0000000000000001E-3</v>
      </c>
      <c r="J321" s="50">
        <v>8.0000000000000002E-3</v>
      </c>
      <c r="K321" s="50">
        <v>8.0000000000000002E-3</v>
      </c>
      <c r="L321" s="50">
        <v>7.0000000000000001E-3</v>
      </c>
      <c r="M321" s="50">
        <v>1.0999999999999999E-2</v>
      </c>
      <c r="N321" s="50">
        <v>1.7000000000000001E-2</v>
      </c>
      <c r="O321" s="50">
        <v>4.1000000000000002E-2</v>
      </c>
      <c r="P321" s="50">
        <v>7.0000000000000001E-3</v>
      </c>
      <c r="Q321" s="50">
        <v>0.01</v>
      </c>
      <c r="R321" s="50">
        <v>8.9999999999999993E-3</v>
      </c>
      <c r="S321" s="50">
        <v>1.0999999999999999E-2</v>
      </c>
      <c r="T321" s="50">
        <v>8.0000000000000002E-3</v>
      </c>
      <c r="U321" s="50">
        <v>1.4999999999999999E-2</v>
      </c>
      <c r="V321" s="50">
        <v>1.0999999999999999E-2</v>
      </c>
      <c r="W321" s="50">
        <v>6.0000000000000001E-3</v>
      </c>
      <c r="X321" s="51">
        <v>7.0000000000000001E-3</v>
      </c>
    </row>
    <row r="322" spans="1:24" ht="59.45">
      <c r="A322" s="33" t="s">
        <v>50</v>
      </c>
      <c r="B322" s="34" t="s">
        <v>532</v>
      </c>
      <c r="C322" s="34" t="s">
        <v>957</v>
      </c>
      <c r="D322" s="35" t="s">
        <v>544</v>
      </c>
      <c r="E322" s="36">
        <v>2025</v>
      </c>
      <c r="F322" s="37" t="s">
        <v>113</v>
      </c>
      <c r="G322" s="38" t="s">
        <v>534</v>
      </c>
      <c r="H322" s="49">
        <v>2.1999999999999999E-2</v>
      </c>
      <c r="I322" s="50">
        <v>1.2E-2</v>
      </c>
      <c r="J322" s="50">
        <v>7.0000000000000001E-3</v>
      </c>
      <c r="K322" s="50">
        <v>1.0999999999999999E-2</v>
      </c>
      <c r="L322" s="50">
        <v>8.0000000000000002E-3</v>
      </c>
      <c r="M322" s="50">
        <v>8.9999999999999993E-3</v>
      </c>
      <c r="N322" s="50">
        <v>1.4999999999999999E-2</v>
      </c>
      <c r="O322" s="50">
        <v>3.7999999999999999E-2</v>
      </c>
      <c r="P322" s="50">
        <v>8.0000000000000002E-3</v>
      </c>
      <c r="Q322" s="50">
        <v>7.0000000000000001E-3</v>
      </c>
      <c r="R322" s="50">
        <v>8.9999999999999993E-3</v>
      </c>
      <c r="S322" s="50">
        <v>8.9999999999999993E-3</v>
      </c>
      <c r="T322" s="50">
        <v>6.0000000000000001E-3</v>
      </c>
      <c r="U322" s="50">
        <v>0.01</v>
      </c>
      <c r="V322" s="50">
        <v>7.0000000000000001E-3</v>
      </c>
      <c r="W322" s="50">
        <v>8.9999999999999993E-3</v>
      </c>
      <c r="X322" s="51">
        <v>6.0000000000000001E-3</v>
      </c>
    </row>
    <row r="323" spans="1:24" ht="59.45">
      <c r="A323" s="33" t="s">
        <v>50</v>
      </c>
      <c r="B323" s="34" t="s">
        <v>532</v>
      </c>
      <c r="C323" s="34" t="s">
        <v>958</v>
      </c>
      <c r="D323" s="35" t="s">
        <v>545</v>
      </c>
      <c r="E323" s="36">
        <v>2025</v>
      </c>
      <c r="F323" s="37" t="s">
        <v>113</v>
      </c>
      <c r="G323" s="38" t="s">
        <v>534</v>
      </c>
      <c r="H323" s="49">
        <v>0.01</v>
      </c>
      <c r="I323" s="50">
        <v>1.2E-2</v>
      </c>
      <c r="J323" s="50">
        <v>8.9999999999999993E-3</v>
      </c>
      <c r="K323" s="50">
        <v>8.9999999999999993E-3</v>
      </c>
      <c r="L323" s="50">
        <v>5.0000000000000001E-3</v>
      </c>
      <c r="M323" s="50">
        <v>0.01</v>
      </c>
      <c r="N323" s="50">
        <v>1.4E-2</v>
      </c>
      <c r="O323" s="50">
        <v>1.2999999999999999E-2</v>
      </c>
      <c r="P323" s="50">
        <v>5.0000000000000001E-3</v>
      </c>
      <c r="Q323" s="50">
        <v>4.0000000000000001E-3</v>
      </c>
      <c r="R323" s="50">
        <v>5.0000000000000001E-3</v>
      </c>
      <c r="S323" s="50">
        <v>8.0000000000000002E-3</v>
      </c>
      <c r="T323" s="50">
        <v>7.0000000000000001E-3</v>
      </c>
      <c r="U323" s="50">
        <v>5.0000000000000001E-3</v>
      </c>
      <c r="V323" s="50">
        <v>7.0000000000000001E-3</v>
      </c>
      <c r="W323" s="50">
        <v>1E-3</v>
      </c>
      <c r="X323" s="51">
        <v>8.0000000000000002E-3</v>
      </c>
    </row>
    <row r="324" spans="1:24" ht="59.45">
      <c r="A324" s="33" t="s">
        <v>50</v>
      </c>
      <c r="B324" s="34" t="s">
        <v>532</v>
      </c>
      <c r="C324" s="34" t="s">
        <v>959</v>
      </c>
      <c r="D324" s="35" t="s">
        <v>546</v>
      </c>
      <c r="E324" s="36">
        <v>2025</v>
      </c>
      <c r="F324" s="37" t="s">
        <v>113</v>
      </c>
      <c r="G324" s="38" t="s">
        <v>534</v>
      </c>
      <c r="H324" s="49">
        <v>3.7999999999999999E-2</v>
      </c>
      <c r="I324" s="50">
        <v>3.1E-2</v>
      </c>
      <c r="J324" s="50">
        <v>2.4E-2</v>
      </c>
      <c r="K324" s="50">
        <v>3.6999999999999998E-2</v>
      </c>
      <c r="L324" s="50">
        <v>0.02</v>
      </c>
      <c r="M324" s="50">
        <v>3.2000000000000001E-2</v>
      </c>
      <c r="N324" s="50">
        <v>2.9000000000000001E-2</v>
      </c>
      <c r="O324" s="50">
        <v>5.1999999999999998E-2</v>
      </c>
      <c r="P324" s="50">
        <v>3.3000000000000002E-2</v>
      </c>
      <c r="Q324" s="50">
        <v>0.02</v>
      </c>
      <c r="R324" s="50">
        <v>2.3E-2</v>
      </c>
      <c r="S324" s="50">
        <v>2.9000000000000001E-2</v>
      </c>
      <c r="T324" s="50">
        <v>1.4999999999999999E-2</v>
      </c>
      <c r="U324" s="50">
        <v>3.2000000000000001E-2</v>
      </c>
      <c r="V324" s="50">
        <v>3.2000000000000001E-2</v>
      </c>
      <c r="W324" s="50">
        <v>1.9E-2</v>
      </c>
      <c r="X324" s="51">
        <v>1.7000000000000001E-2</v>
      </c>
    </row>
    <row r="325" spans="1:24" ht="59.45">
      <c r="A325" s="33" t="s">
        <v>50</v>
      </c>
      <c r="B325" s="34" t="s">
        <v>532</v>
      </c>
      <c r="C325" s="34" t="s">
        <v>960</v>
      </c>
      <c r="D325" s="35" t="s">
        <v>547</v>
      </c>
      <c r="E325" s="36">
        <v>2025</v>
      </c>
      <c r="F325" s="37" t="s">
        <v>113</v>
      </c>
      <c r="G325" s="38" t="s">
        <v>534</v>
      </c>
      <c r="H325" s="49">
        <v>3.4000000000000002E-2</v>
      </c>
      <c r="I325" s="50">
        <v>0.02</v>
      </c>
      <c r="J325" s="50">
        <v>0.03</v>
      </c>
      <c r="K325" s="50">
        <v>3.7999999999999999E-2</v>
      </c>
      <c r="L325" s="50">
        <v>2.8000000000000001E-2</v>
      </c>
      <c r="M325" s="50">
        <v>2.5999999999999999E-2</v>
      </c>
      <c r="N325" s="50">
        <v>3.1E-2</v>
      </c>
      <c r="O325" s="50">
        <v>4.2000000000000003E-2</v>
      </c>
      <c r="P325" s="50">
        <v>2.1999999999999999E-2</v>
      </c>
      <c r="Q325" s="50">
        <v>1.7999999999999999E-2</v>
      </c>
      <c r="R325" s="50">
        <v>1.9E-2</v>
      </c>
      <c r="S325" s="50">
        <v>2.3E-2</v>
      </c>
      <c r="T325" s="50">
        <v>2.7E-2</v>
      </c>
      <c r="U325" s="50">
        <v>3.2000000000000001E-2</v>
      </c>
      <c r="V325" s="50">
        <v>3.2000000000000001E-2</v>
      </c>
      <c r="W325" s="50">
        <v>3.4000000000000002E-2</v>
      </c>
      <c r="X325" s="51">
        <v>4.2000000000000003E-2</v>
      </c>
    </row>
    <row r="326" spans="1:24" ht="59.45">
      <c r="A326" s="33" t="s">
        <v>50</v>
      </c>
      <c r="B326" s="34" t="s">
        <v>532</v>
      </c>
      <c r="C326" s="34" t="s">
        <v>961</v>
      </c>
      <c r="D326" s="35" t="s">
        <v>548</v>
      </c>
      <c r="E326" s="36">
        <v>2025</v>
      </c>
      <c r="F326" s="37" t="s">
        <v>113</v>
      </c>
      <c r="G326" s="38" t="s">
        <v>534</v>
      </c>
      <c r="H326" s="49">
        <v>5.7000000000000002E-2</v>
      </c>
      <c r="I326" s="50">
        <v>0.122</v>
      </c>
      <c r="J326" s="50">
        <v>9.9000000000000005E-2</v>
      </c>
      <c r="K326" s="50">
        <v>4.8000000000000001E-2</v>
      </c>
      <c r="L326" s="50">
        <v>5.5E-2</v>
      </c>
      <c r="M326" s="50">
        <v>5.1999999999999998E-2</v>
      </c>
      <c r="N326" s="50">
        <v>6.7000000000000004E-2</v>
      </c>
      <c r="O326" s="50">
        <v>0.05</v>
      </c>
      <c r="P326" s="50">
        <v>4.4999999999999998E-2</v>
      </c>
      <c r="Q326" s="50">
        <v>4.9000000000000002E-2</v>
      </c>
      <c r="R326" s="50">
        <v>6.2E-2</v>
      </c>
      <c r="S326" s="50">
        <v>6.5000000000000002E-2</v>
      </c>
      <c r="T326" s="50">
        <v>5.8999999999999997E-2</v>
      </c>
      <c r="U326" s="50">
        <v>6.8000000000000005E-2</v>
      </c>
      <c r="V326" s="50">
        <v>6.5000000000000002E-2</v>
      </c>
      <c r="W326" s="50">
        <v>0.14699999999999999</v>
      </c>
      <c r="X326" s="51">
        <v>9.9000000000000005E-2</v>
      </c>
    </row>
    <row r="327" spans="1:24" ht="59.45">
      <c r="A327" s="33" t="s">
        <v>50</v>
      </c>
      <c r="B327" s="34" t="s">
        <v>532</v>
      </c>
      <c r="C327" s="34" t="s">
        <v>962</v>
      </c>
      <c r="D327" s="35" t="s">
        <v>549</v>
      </c>
      <c r="E327" s="36">
        <v>2025</v>
      </c>
      <c r="F327" s="37" t="s">
        <v>113</v>
      </c>
      <c r="G327" s="38" t="s">
        <v>534</v>
      </c>
      <c r="H327" s="49">
        <v>8.5000000000000006E-2</v>
      </c>
      <c r="I327" s="50">
        <v>9.2999999999999999E-2</v>
      </c>
      <c r="J327" s="50">
        <v>0.09</v>
      </c>
      <c r="K327" s="50">
        <v>8.1000000000000003E-2</v>
      </c>
      <c r="L327" s="50">
        <v>9.0999999999999998E-2</v>
      </c>
      <c r="M327" s="50">
        <v>0.09</v>
      </c>
      <c r="N327" s="50">
        <v>9.1999999999999998E-2</v>
      </c>
      <c r="O327" s="50">
        <v>7.6999999999999999E-2</v>
      </c>
      <c r="P327" s="50">
        <v>7.5999999999999998E-2</v>
      </c>
      <c r="Q327" s="50">
        <v>8.6999999999999994E-2</v>
      </c>
      <c r="R327" s="50">
        <v>0.105</v>
      </c>
      <c r="S327" s="50">
        <v>0.104</v>
      </c>
      <c r="T327" s="50">
        <v>0.10199999999999999</v>
      </c>
      <c r="U327" s="50">
        <v>0.11600000000000001</v>
      </c>
      <c r="V327" s="50">
        <v>8.3000000000000004E-2</v>
      </c>
      <c r="W327" s="50">
        <v>8.8999999999999996E-2</v>
      </c>
      <c r="X327" s="51">
        <v>7.6999999999999999E-2</v>
      </c>
    </row>
    <row r="328" spans="1:24" ht="59.45">
      <c r="A328" s="33" t="s">
        <v>50</v>
      </c>
      <c r="B328" s="34" t="s">
        <v>532</v>
      </c>
      <c r="C328" s="34" t="s">
        <v>963</v>
      </c>
      <c r="D328" s="35" t="s">
        <v>550</v>
      </c>
      <c r="E328" s="36">
        <v>2025</v>
      </c>
      <c r="F328" s="37" t="s">
        <v>113</v>
      </c>
      <c r="G328" s="38" t="s">
        <v>534</v>
      </c>
      <c r="H328" s="49">
        <v>7.6999999999999999E-2</v>
      </c>
      <c r="I328" s="50">
        <v>5.8999999999999997E-2</v>
      </c>
      <c r="J328" s="50">
        <v>7.5999999999999998E-2</v>
      </c>
      <c r="K328" s="50">
        <v>6.9000000000000006E-2</v>
      </c>
      <c r="L328" s="50">
        <v>4.9000000000000002E-2</v>
      </c>
      <c r="M328" s="50">
        <v>6.7000000000000004E-2</v>
      </c>
      <c r="N328" s="50">
        <v>8.2000000000000003E-2</v>
      </c>
      <c r="O328" s="50">
        <v>0.08</v>
      </c>
      <c r="P328" s="50">
        <v>6.5000000000000002E-2</v>
      </c>
      <c r="Q328" s="50">
        <v>5.8999999999999997E-2</v>
      </c>
      <c r="R328" s="50">
        <v>7.9000000000000001E-2</v>
      </c>
      <c r="S328" s="50">
        <v>9.6000000000000002E-2</v>
      </c>
      <c r="T328" s="50">
        <v>7.2999999999999995E-2</v>
      </c>
      <c r="U328" s="50">
        <v>8.5999999999999993E-2</v>
      </c>
      <c r="V328" s="50">
        <v>6.8000000000000005E-2</v>
      </c>
      <c r="W328" s="50">
        <v>7.8E-2</v>
      </c>
      <c r="X328" s="51">
        <v>0.10299999999999999</v>
      </c>
    </row>
    <row r="329" spans="1:24" ht="59.45">
      <c r="A329" s="33" t="s">
        <v>50</v>
      </c>
      <c r="B329" s="34" t="s">
        <v>532</v>
      </c>
      <c r="C329" s="34" t="s">
        <v>964</v>
      </c>
      <c r="D329" s="35" t="s">
        <v>551</v>
      </c>
      <c r="E329" s="36">
        <v>2025</v>
      </c>
      <c r="F329" s="37" t="s">
        <v>113</v>
      </c>
      <c r="G329" s="38" t="s">
        <v>534</v>
      </c>
      <c r="H329" s="49">
        <v>1.2E-2</v>
      </c>
      <c r="I329" s="50">
        <v>7.0000000000000001E-3</v>
      </c>
      <c r="J329" s="50">
        <v>7.0000000000000001E-3</v>
      </c>
      <c r="K329" s="50">
        <v>1.2E-2</v>
      </c>
      <c r="L329" s="50">
        <v>1.0999999999999999E-2</v>
      </c>
      <c r="M329" s="50">
        <v>1.2E-2</v>
      </c>
      <c r="N329" s="50">
        <v>1.4E-2</v>
      </c>
      <c r="O329" s="50">
        <v>1.2999999999999999E-2</v>
      </c>
      <c r="P329" s="50">
        <v>1.0999999999999999E-2</v>
      </c>
      <c r="Q329" s="50">
        <v>7.0000000000000001E-3</v>
      </c>
      <c r="R329" s="50">
        <v>8.0000000000000002E-3</v>
      </c>
      <c r="S329" s="50">
        <v>1.2E-2</v>
      </c>
      <c r="T329" s="50">
        <v>1.0999999999999999E-2</v>
      </c>
      <c r="U329" s="50">
        <v>0.01</v>
      </c>
      <c r="V329" s="50">
        <v>1.0999999999999999E-2</v>
      </c>
      <c r="W329" s="50">
        <v>0.01</v>
      </c>
      <c r="X329" s="51">
        <v>7.0000000000000001E-3</v>
      </c>
    </row>
    <row r="330" spans="1:24" ht="59.45">
      <c r="A330" s="33" t="s">
        <v>50</v>
      </c>
      <c r="B330" s="34" t="s">
        <v>532</v>
      </c>
      <c r="C330" s="34" t="s">
        <v>965</v>
      </c>
      <c r="D330" s="35" t="s">
        <v>552</v>
      </c>
      <c r="E330" s="36">
        <v>2025</v>
      </c>
      <c r="F330" s="37" t="s">
        <v>113</v>
      </c>
      <c r="G330" s="38" t="s">
        <v>534</v>
      </c>
      <c r="H330" s="49">
        <v>3.5000000000000003E-2</v>
      </c>
      <c r="I330" s="50">
        <v>2.4E-2</v>
      </c>
      <c r="J330" s="50">
        <v>3.6999999999999998E-2</v>
      </c>
      <c r="K330" s="50">
        <v>2.5999999999999999E-2</v>
      </c>
      <c r="L330" s="50">
        <v>2.3E-2</v>
      </c>
      <c r="M330" s="50">
        <v>2.8000000000000001E-2</v>
      </c>
      <c r="N330" s="50">
        <v>3.6999999999999998E-2</v>
      </c>
      <c r="O330" s="50">
        <v>4.2999999999999997E-2</v>
      </c>
      <c r="P330" s="50">
        <v>2.7E-2</v>
      </c>
      <c r="Q330" s="50">
        <v>2.9000000000000001E-2</v>
      </c>
      <c r="R330" s="50">
        <v>2.5999999999999999E-2</v>
      </c>
      <c r="S330" s="50">
        <v>3.4000000000000002E-2</v>
      </c>
      <c r="T330" s="50">
        <v>0.03</v>
      </c>
      <c r="U330" s="50">
        <v>2.3E-2</v>
      </c>
      <c r="V330" s="50">
        <v>1.7000000000000001E-2</v>
      </c>
      <c r="W330" s="50">
        <v>1.9E-2</v>
      </c>
      <c r="X330" s="51">
        <v>2.1000000000000001E-2</v>
      </c>
    </row>
    <row r="331" spans="1:24" ht="59.45">
      <c r="A331" s="33" t="s">
        <v>50</v>
      </c>
      <c r="B331" s="34" t="s">
        <v>532</v>
      </c>
      <c r="C331" s="34" t="s">
        <v>966</v>
      </c>
      <c r="D331" s="35" t="s">
        <v>553</v>
      </c>
      <c r="E331" s="36">
        <v>2025</v>
      </c>
      <c r="F331" s="37" t="s">
        <v>113</v>
      </c>
      <c r="G331" s="38" t="s">
        <v>534</v>
      </c>
      <c r="H331" s="49">
        <v>2.8000000000000001E-2</v>
      </c>
      <c r="I331" s="50">
        <v>1.4999999999999999E-2</v>
      </c>
      <c r="J331" s="50">
        <v>1.6E-2</v>
      </c>
      <c r="K331" s="50">
        <v>1.4E-2</v>
      </c>
      <c r="L331" s="50">
        <v>1.7000000000000001E-2</v>
      </c>
      <c r="M331" s="50">
        <v>2.5000000000000001E-2</v>
      </c>
      <c r="N331" s="50">
        <v>0.04</v>
      </c>
      <c r="O331" s="50">
        <v>2.5000000000000001E-2</v>
      </c>
      <c r="P331" s="50">
        <v>3.1E-2</v>
      </c>
      <c r="Q331" s="50">
        <v>3.6999999999999998E-2</v>
      </c>
      <c r="R331" s="50">
        <v>4.2000000000000003E-2</v>
      </c>
      <c r="S331" s="50">
        <v>0.03</v>
      </c>
      <c r="T331" s="50">
        <v>2.9000000000000001E-2</v>
      </c>
      <c r="U331" s="50">
        <v>4.2999999999999997E-2</v>
      </c>
      <c r="V331" s="50">
        <v>2.4E-2</v>
      </c>
      <c r="W331" s="50">
        <v>1.7000000000000001E-2</v>
      </c>
      <c r="X331" s="51">
        <v>0.02</v>
      </c>
    </row>
    <row r="332" spans="1:24" ht="59.45">
      <c r="A332" s="33" t="s">
        <v>50</v>
      </c>
      <c r="B332" s="34" t="s">
        <v>532</v>
      </c>
      <c r="C332" s="34" t="s">
        <v>967</v>
      </c>
      <c r="D332" s="35" t="s">
        <v>554</v>
      </c>
      <c r="E332" s="36">
        <v>2025</v>
      </c>
      <c r="F332" s="37" t="s">
        <v>113</v>
      </c>
      <c r="G332" s="38" t="s">
        <v>534</v>
      </c>
      <c r="H332" s="49">
        <v>0</v>
      </c>
      <c r="I332" s="50">
        <v>1E-3</v>
      </c>
      <c r="J332" s="50">
        <v>1E-3</v>
      </c>
      <c r="K332" s="50">
        <v>1E-3</v>
      </c>
      <c r="L332" s="50">
        <v>0</v>
      </c>
      <c r="M332" s="50">
        <v>0</v>
      </c>
      <c r="N332" s="50">
        <v>0</v>
      </c>
      <c r="O332" s="50">
        <v>1E-3</v>
      </c>
      <c r="P332" s="50">
        <v>0</v>
      </c>
      <c r="Q332" s="50">
        <v>0</v>
      </c>
      <c r="R332" s="50">
        <v>0</v>
      </c>
      <c r="S332" s="50">
        <v>0</v>
      </c>
      <c r="T332" s="50">
        <v>0</v>
      </c>
      <c r="U332" s="50">
        <v>0</v>
      </c>
      <c r="V332" s="50">
        <v>0</v>
      </c>
      <c r="W332" s="50">
        <v>0</v>
      </c>
      <c r="X332" s="51">
        <v>0</v>
      </c>
    </row>
    <row r="333" spans="1:24" ht="59.45">
      <c r="A333" s="33" t="s">
        <v>50</v>
      </c>
      <c r="B333" s="34" t="s">
        <v>532</v>
      </c>
      <c r="C333" s="34" t="s">
        <v>968</v>
      </c>
      <c r="D333" s="35" t="s">
        <v>555</v>
      </c>
      <c r="E333" s="36">
        <v>2025</v>
      </c>
      <c r="F333" s="37" t="s">
        <v>113</v>
      </c>
      <c r="G333" s="38" t="s">
        <v>534</v>
      </c>
      <c r="H333" s="49">
        <v>3.0000000000000001E-3</v>
      </c>
      <c r="I333" s="50">
        <v>3.0000000000000001E-3</v>
      </c>
      <c r="J333" s="50">
        <v>1E-3</v>
      </c>
      <c r="K333" s="50">
        <v>4.0000000000000001E-3</v>
      </c>
      <c r="L333" s="50">
        <v>3.0000000000000001E-3</v>
      </c>
      <c r="M333" s="50">
        <v>3.0000000000000001E-3</v>
      </c>
      <c r="N333" s="50">
        <v>1E-3</v>
      </c>
      <c r="O333" s="50">
        <v>4.0000000000000001E-3</v>
      </c>
      <c r="P333" s="50">
        <v>1E-3</v>
      </c>
      <c r="Q333" s="50">
        <v>2E-3</v>
      </c>
      <c r="R333" s="50">
        <v>7.0000000000000001E-3</v>
      </c>
      <c r="S333" s="50">
        <v>2E-3</v>
      </c>
      <c r="T333" s="50">
        <v>2E-3</v>
      </c>
      <c r="U333" s="50">
        <v>2E-3</v>
      </c>
      <c r="V333" s="50">
        <v>2E-3</v>
      </c>
      <c r="W333" s="50">
        <v>3.0000000000000001E-3</v>
      </c>
      <c r="X333" s="51">
        <v>1E-3</v>
      </c>
    </row>
    <row r="334" spans="1:24" ht="20.45">
      <c r="A334" s="33" t="s">
        <v>52</v>
      </c>
      <c r="B334" s="34" t="s">
        <v>556</v>
      </c>
      <c r="C334" s="34" t="s">
        <v>558</v>
      </c>
      <c r="D334" s="35" t="s">
        <v>557</v>
      </c>
      <c r="E334" s="36" t="s">
        <v>558</v>
      </c>
      <c r="F334" s="37" t="s">
        <v>559</v>
      </c>
      <c r="G334" s="38" t="s">
        <v>560</v>
      </c>
      <c r="H334" s="42">
        <v>6272</v>
      </c>
      <c r="I334" s="43">
        <v>15</v>
      </c>
      <c r="J334" s="43">
        <v>10</v>
      </c>
      <c r="K334" s="43">
        <v>3</v>
      </c>
      <c r="L334" s="43">
        <v>32</v>
      </c>
      <c r="M334" s="43">
        <v>79</v>
      </c>
      <c r="N334" s="43">
        <v>545</v>
      </c>
      <c r="O334" s="43">
        <v>761</v>
      </c>
      <c r="P334" s="43">
        <v>486</v>
      </c>
      <c r="Q334" s="43">
        <v>885</v>
      </c>
      <c r="R334" s="43">
        <v>445</v>
      </c>
      <c r="S334" s="43">
        <v>1217</v>
      </c>
      <c r="T334" s="43">
        <v>1332</v>
      </c>
      <c r="U334" s="43">
        <v>128</v>
      </c>
      <c r="V334" s="43">
        <v>304</v>
      </c>
      <c r="W334" s="43">
        <v>28</v>
      </c>
      <c r="X334" s="44">
        <v>2</v>
      </c>
    </row>
    <row r="335" spans="1:24" ht="20.45">
      <c r="A335" s="33" t="s">
        <v>52</v>
      </c>
      <c r="B335" s="34" t="s">
        <v>556</v>
      </c>
      <c r="C335" s="34" t="s">
        <v>562</v>
      </c>
      <c r="D335" s="35" t="s">
        <v>561</v>
      </c>
      <c r="E335" s="36" t="s">
        <v>562</v>
      </c>
      <c r="F335" s="37" t="s">
        <v>559</v>
      </c>
      <c r="G335" s="38" t="s">
        <v>560</v>
      </c>
      <c r="H335" s="42">
        <v>5958</v>
      </c>
      <c r="I335" s="43">
        <v>11</v>
      </c>
      <c r="J335" s="43">
        <v>8</v>
      </c>
      <c r="K335" s="43">
        <v>5</v>
      </c>
      <c r="L335" s="43">
        <v>28</v>
      </c>
      <c r="M335" s="43">
        <v>81</v>
      </c>
      <c r="N335" s="43">
        <v>522</v>
      </c>
      <c r="O335" s="43">
        <v>543</v>
      </c>
      <c r="P335" s="43">
        <v>332</v>
      </c>
      <c r="Q335" s="43">
        <v>771</v>
      </c>
      <c r="R335" s="43">
        <v>406</v>
      </c>
      <c r="S335" s="43">
        <v>1406</v>
      </c>
      <c r="T335" s="43">
        <v>1365</v>
      </c>
      <c r="U335" s="43">
        <v>119</v>
      </c>
      <c r="V335" s="43">
        <v>324</v>
      </c>
      <c r="W335" s="43">
        <v>22</v>
      </c>
      <c r="X335" s="44">
        <v>15</v>
      </c>
    </row>
    <row r="336" spans="1:24" ht="20.45">
      <c r="A336" s="33" t="s">
        <v>52</v>
      </c>
      <c r="B336" s="34" t="s">
        <v>556</v>
      </c>
      <c r="C336" s="34" t="s">
        <v>564</v>
      </c>
      <c r="D336" s="35" t="s">
        <v>563</v>
      </c>
      <c r="E336" s="36" t="s">
        <v>564</v>
      </c>
      <c r="F336" s="37" t="s">
        <v>559</v>
      </c>
      <c r="G336" s="38" t="s">
        <v>560</v>
      </c>
      <c r="H336" s="42">
        <v>6982</v>
      </c>
      <c r="I336" s="43">
        <v>5</v>
      </c>
      <c r="J336" s="43">
        <v>5</v>
      </c>
      <c r="K336" s="43">
        <v>7</v>
      </c>
      <c r="L336" s="43">
        <v>16</v>
      </c>
      <c r="M336" s="43">
        <v>53</v>
      </c>
      <c r="N336" s="43">
        <v>399</v>
      </c>
      <c r="O336" s="43">
        <v>411</v>
      </c>
      <c r="P336" s="43">
        <v>421</v>
      </c>
      <c r="Q336" s="43">
        <v>901</v>
      </c>
      <c r="R336" s="43">
        <v>599</v>
      </c>
      <c r="S336" s="43">
        <v>1978</v>
      </c>
      <c r="T336" s="43">
        <v>1753</v>
      </c>
      <c r="U336" s="43">
        <v>112</v>
      </c>
      <c r="V336" s="43">
        <v>272</v>
      </c>
      <c r="W336" s="43">
        <v>30</v>
      </c>
      <c r="X336" s="44">
        <v>20</v>
      </c>
    </row>
    <row r="337" spans="1:24" ht="20.45">
      <c r="A337" s="33" t="s">
        <v>52</v>
      </c>
      <c r="B337" s="34" t="s">
        <v>556</v>
      </c>
      <c r="C337" s="34" t="s">
        <v>566</v>
      </c>
      <c r="D337" s="35" t="s">
        <v>565</v>
      </c>
      <c r="E337" s="36" t="s">
        <v>566</v>
      </c>
      <c r="F337" s="37" t="s">
        <v>559</v>
      </c>
      <c r="G337" s="38" t="s">
        <v>560</v>
      </c>
      <c r="H337" s="42">
        <v>6947</v>
      </c>
      <c r="I337" s="43">
        <v>6</v>
      </c>
      <c r="J337" s="43">
        <v>3</v>
      </c>
      <c r="K337" s="43">
        <v>3</v>
      </c>
      <c r="L337" s="43">
        <v>14</v>
      </c>
      <c r="M337" s="43">
        <v>59</v>
      </c>
      <c r="N337" s="43">
        <v>444</v>
      </c>
      <c r="O337" s="43">
        <v>295</v>
      </c>
      <c r="P337" s="43">
        <v>307</v>
      </c>
      <c r="Q337" s="43">
        <v>898</v>
      </c>
      <c r="R337" s="43">
        <v>530</v>
      </c>
      <c r="S337" s="43">
        <v>2472</v>
      </c>
      <c r="T337" s="43">
        <v>1457</v>
      </c>
      <c r="U337" s="43">
        <v>112</v>
      </c>
      <c r="V337" s="43">
        <v>297</v>
      </c>
      <c r="W337" s="43">
        <v>35</v>
      </c>
      <c r="X337" s="44">
        <v>15</v>
      </c>
    </row>
    <row r="338" spans="1:24" ht="20.45">
      <c r="A338" s="33" t="s">
        <v>52</v>
      </c>
      <c r="B338" s="34" t="s">
        <v>556</v>
      </c>
      <c r="C338" s="34" t="s">
        <v>568</v>
      </c>
      <c r="D338" s="35" t="s">
        <v>567</v>
      </c>
      <c r="E338" s="36" t="s">
        <v>568</v>
      </c>
      <c r="F338" s="37" t="s">
        <v>559</v>
      </c>
      <c r="G338" s="38" t="s">
        <v>560</v>
      </c>
      <c r="H338" s="42">
        <v>7101</v>
      </c>
      <c r="I338" s="43">
        <v>10</v>
      </c>
      <c r="J338" s="43">
        <v>6</v>
      </c>
      <c r="K338" s="43">
        <v>5</v>
      </c>
      <c r="L338" s="43">
        <v>12</v>
      </c>
      <c r="M338" s="43">
        <v>58</v>
      </c>
      <c r="N338" s="43">
        <v>418</v>
      </c>
      <c r="O338" s="43">
        <v>352</v>
      </c>
      <c r="P338" s="43">
        <v>223</v>
      </c>
      <c r="Q338" s="43">
        <v>725</v>
      </c>
      <c r="R338" s="43">
        <v>481</v>
      </c>
      <c r="S338" s="43">
        <v>2894</v>
      </c>
      <c r="T338" s="43">
        <v>1367</v>
      </c>
      <c r="U338" s="43">
        <v>144</v>
      </c>
      <c r="V338" s="43">
        <v>338</v>
      </c>
      <c r="W338" s="43">
        <v>48</v>
      </c>
      <c r="X338" s="44">
        <v>20</v>
      </c>
    </row>
    <row r="339" spans="1:24" ht="40.9">
      <c r="A339" s="33" t="s">
        <v>52</v>
      </c>
      <c r="B339" s="34" t="s">
        <v>556</v>
      </c>
      <c r="C339" s="34" t="s">
        <v>558</v>
      </c>
      <c r="D339" s="35" t="s">
        <v>569</v>
      </c>
      <c r="E339" s="36" t="s">
        <v>558</v>
      </c>
      <c r="F339" s="37" t="s">
        <v>570</v>
      </c>
      <c r="G339" s="38" t="s">
        <v>571</v>
      </c>
      <c r="H339" s="42">
        <v>65156.62</v>
      </c>
      <c r="I339" s="65">
        <v>33.479999999999997</v>
      </c>
      <c r="J339" s="65">
        <v>61.19</v>
      </c>
      <c r="K339" s="65">
        <v>26.3</v>
      </c>
      <c r="L339" s="65">
        <v>70.88</v>
      </c>
      <c r="M339" s="65">
        <v>487.57</v>
      </c>
      <c r="N339" s="65">
        <v>2641.38</v>
      </c>
      <c r="O339" s="65">
        <v>6192.37</v>
      </c>
      <c r="P339" s="65">
        <v>4757.1499999999996</v>
      </c>
      <c r="Q339" s="65">
        <v>4521.3999999999996</v>
      </c>
      <c r="R339" s="65">
        <v>5405.2</v>
      </c>
      <c r="S339" s="65">
        <v>6911.91</v>
      </c>
      <c r="T339" s="65">
        <v>33311.230000000003</v>
      </c>
      <c r="U339" s="65">
        <v>61.11</v>
      </c>
      <c r="V339" s="65">
        <v>253.87</v>
      </c>
      <c r="W339" s="65">
        <v>421.52</v>
      </c>
      <c r="X339" s="66">
        <v>0.06</v>
      </c>
    </row>
    <row r="340" spans="1:24" ht="40.9">
      <c r="A340" s="33" t="s">
        <v>52</v>
      </c>
      <c r="B340" s="34" t="s">
        <v>556</v>
      </c>
      <c r="C340" s="34" t="s">
        <v>562</v>
      </c>
      <c r="D340" s="35" t="s">
        <v>572</v>
      </c>
      <c r="E340" s="36" t="s">
        <v>562</v>
      </c>
      <c r="F340" s="37" t="s">
        <v>570</v>
      </c>
      <c r="G340" s="38" t="s">
        <v>571</v>
      </c>
      <c r="H340" s="42">
        <v>61274.83</v>
      </c>
      <c r="I340" s="65">
        <v>101.44</v>
      </c>
      <c r="J340" s="65">
        <v>304.20999999999998</v>
      </c>
      <c r="K340" s="65">
        <v>16.55</v>
      </c>
      <c r="L340" s="65">
        <v>73.17</v>
      </c>
      <c r="M340" s="65">
        <v>497.62</v>
      </c>
      <c r="N340" s="65">
        <v>15165.18</v>
      </c>
      <c r="O340" s="65">
        <v>8754.77</v>
      </c>
      <c r="P340" s="65">
        <v>13022.23</v>
      </c>
      <c r="Q340" s="65">
        <v>4905.8500000000004</v>
      </c>
      <c r="R340" s="65">
        <v>659.55</v>
      </c>
      <c r="S340" s="65">
        <v>4595.46</v>
      </c>
      <c r="T340" s="65">
        <v>9825.86</v>
      </c>
      <c r="U340" s="65">
        <v>52.26</v>
      </c>
      <c r="V340" s="65">
        <v>2029.98</v>
      </c>
      <c r="W340" s="65">
        <v>133.86000000000001</v>
      </c>
      <c r="X340" s="66">
        <v>1136.8399999999999</v>
      </c>
    </row>
    <row r="341" spans="1:24" ht="40.9">
      <c r="A341" s="33" t="s">
        <v>52</v>
      </c>
      <c r="B341" s="34" t="s">
        <v>556</v>
      </c>
      <c r="C341" s="34" t="s">
        <v>564</v>
      </c>
      <c r="D341" s="35" t="s">
        <v>573</v>
      </c>
      <c r="E341" s="36" t="s">
        <v>564</v>
      </c>
      <c r="F341" s="37" t="s">
        <v>570</v>
      </c>
      <c r="G341" s="38" t="s">
        <v>571</v>
      </c>
      <c r="H341" s="42">
        <v>381915.9</v>
      </c>
      <c r="I341" s="65">
        <v>47.4</v>
      </c>
      <c r="J341" s="65">
        <v>48.55</v>
      </c>
      <c r="K341" s="65">
        <v>20.36</v>
      </c>
      <c r="L341" s="65">
        <v>12.59</v>
      </c>
      <c r="M341" s="65">
        <v>137.93</v>
      </c>
      <c r="N341" s="65">
        <v>7512.6</v>
      </c>
      <c r="O341" s="65">
        <v>14440.26</v>
      </c>
      <c r="P341" s="65">
        <v>7399.4</v>
      </c>
      <c r="Q341" s="65">
        <v>31165.759999999998</v>
      </c>
      <c r="R341" s="65">
        <v>53551.07</v>
      </c>
      <c r="S341" s="65">
        <v>165858.96</v>
      </c>
      <c r="T341" s="65">
        <v>92191.25</v>
      </c>
      <c r="U341" s="65">
        <v>5962.45</v>
      </c>
      <c r="V341" s="65">
        <v>560.44000000000005</v>
      </c>
      <c r="W341" s="65">
        <v>16.03</v>
      </c>
      <c r="X341" s="66">
        <v>2990.85</v>
      </c>
    </row>
    <row r="342" spans="1:24" ht="40.9">
      <c r="A342" s="33" t="s">
        <v>52</v>
      </c>
      <c r="B342" s="34" t="s">
        <v>556</v>
      </c>
      <c r="C342" s="34" t="s">
        <v>566</v>
      </c>
      <c r="D342" s="35" t="s">
        <v>574</v>
      </c>
      <c r="E342" s="36" t="s">
        <v>566</v>
      </c>
      <c r="F342" s="37" t="s">
        <v>570</v>
      </c>
      <c r="G342" s="38" t="s">
        <v>571</v>
      </c>
      <c r="H342" s="42">
        <v>104945.89</v>
      </c>
      <c r="I342" s="65">
        <v>27.79</v>
      </c>
      <c r="J342" s="65">
        <v>1.4</v>
      </c>
      <c r="K342" s="65">
        <v>16</v>
      </c>
      <c r="L342" s="65">
        <v>19.18</v>
      </c>
      <c r="M342" s="65">
        <v>1993.85</v>
      </c>
      <c r="N342" s="65">
        <v>2585.0100000000002</v>
      </c>
      <c r="O342" s="65">
        <v>877.54</v>
      </c>
      <c r="P342" s="65">
        <v>5452.92</v>
      </c>
      <c r="Q342" s="65">
        <v>4350.08</v>
      </c>
      <c r="R342" s="65">
        <v>7433.1</v>
      </c>
      <c r="S342" s="65">
        <v>20478.07</v>
      </c>
      <c r="T342" s="65">
        <v>57700.18</v>
      </c>
      <c r="U342" s="65">
        <v>413.82</v>
      </c>
      <c r="V342" s="65">
        <v>727.43</v>
      </c>
      <c r="W342" s="65">
        <v>1690.92</v>
      </c>
      <c r="X342" s="66">
        <v>1178.5999999999999</v>
      </c>
    </row>
    <row r="343" spans="1:24" ht="40.9">
      <c r="A343" s="33" t="s">
        <v>52</v>
      </c>
      <c r="B343" s="34" t="s">
        <v>556</v>
      </c>
      <c r="C343" s="34" t="s">
        <v>568</v>
      </c>
      <c r="D343" s="35" t="s">
        <v>575</v>
      </c>
      <c r="E343" s="36" t="s">
        <v>568</v>
      </c>
      <c r="F343" s="37" t="s">
        <v>570</v>
      </c>
      <c r="G343" s="38" t="s">
        <v>571</v>
      </c>
      <c r="H343" s="42">
        <v>31145.599999999999</v>
      </c>
      <c r="I343" s="65">
        <v>8.92</v>
      </c>
      <c r="J343" s="65">
        <v>27.9</v>
      </c>
      <c r="K343" s="65">
        <v>3.21</v>
      </c>
      <c r="L343" s="65">
        <v>7.46</v>
      </c>
      <c r="M343" s="65">
        <v>199.82</v>
      </c>
      <c r="N343" s="65">
        <v>6937.26</v>
      </c>
      <c r="O343" s="65">
        <v>944.98</v>
      </c>
      <c r="P343" s="65">
        <v>1482.45</v>
      </c>
      <c r="Q343" s="65">
        <v>4767.54</v>
      </c>
      <c r="R343" s="65">
        <v>1075.3699999999999</v>
      </c>
      <c r="S343" s="65">
        <v>5467.57</v>
      </c>
      <c r="T343" s="65">
        <v>9070.09</v>
      </c>
      <c r="U343" s="65">
        <v>145.44</v>
      </c>
      <c r="V343" s="65">
        <v>653.37</v>
      </c>
      <c r="W343" s="65">
        <v>27.9</v>
      </c>
      <c r="X343" s="66">
        <v>326.32</v>
      </c>
    </row>
    <row r="344" spans="1:24" ht="20.45">
      <c r="A344" s="33" t="s">
        <v>52</v>
      </c>
      <c r="B344" s="34" t="s">
        <v>576</v>
      </c>
      <c r="C344" s="34">
        <v>2024</v>
      </c>
      <c r="D344" s="35" t="s">
        <v>577</v>
      </c>
      <c r="E344" s="36">
        <v>2024</v>
      </c>
      <c r="F344" s="37" t="s">
        <v>578</v>
      </c>
      <c r="G344" s="38" t="s">
        <v>579</v>
      </c>
      <c r="H344" s="39"/>
      <c r="I344" s="43">
        <v>19406</v>
      </c>
      <c r="J344" s="43">
        <v>32913</v>
      </c>
      <c r="K344" s="43">
        <v>60334</v>
      </c>
      <c r="L344" s="43">
        <v>28098</v>
      </c>
      <c r="M344" s="43">
        <v>64132</v>
      </c>
      <c r="N344" s="43">
        <v>178453</v>
      </c>
      <c r="O344" s="43">
        <v>911768</v>
      </c>
      <c r="P344" s="43">
        <v>88518</v>
      </c>
      <c r="Q344" s="43">
        <v>88146</v>
      </c>
      <c r="R344" s="43">
        <v>31895</v>
      </c>
      <c r="S344" s="43">
        <v>142038</v>
      </c>
      <c r="T344" s="43">
        <v>48514</v>
      </c>
      <c r="U344" s="43">
        <v>24224</v>
      </c>
      <c r="V344" s="43">
        <v>60787</v>
      </c>
      <c r="W344" s="43">
        <v>8452</v>
      </c>
      <c r="X344" s="44">
        <v>15752</v>
      </c>
    </row>
    <row r="345" spans="1:24" ht="20.45">
      <c r="A345" s="33" t="s">
        <v>52</v>
      </c>
      <c r="B345" s="34" t="s">
        <v>576</v>
      </c>
      <c r="C345" s="34">
        <v>2023</v>
      </c>
      <c r="D345" s="35" t="s">
        <v>580</v>
      </c>
      <c r="E345" s="36">
        <v>2023</v>
      </c>
      <c r="F345" s="37" t="s">
        <v>578</v>
      </c>
      <c r="G345" s="38" t="s">
        <v>579</v>
      </c>
      <c r="H345" s="39"/>
      <c r="I345" s="43">
        <v>20077</v>
      </c>
      <c r="J345" s="43">
        <v>32978</v>
      </c>
      <c r="K345" s="43">
        <v>58927</v>
      </c>
      <c r="L345" s="43">
        <v>28028</v>
      </c>
      <c r="M345" s="43">
        <v>63938</v>
      </c>
      <c r="N345" s="43">
        <v>184498</v>
      </c>
      <c r="O345" s="43">
        <v>900853</v>
      </c>
      <c r="P345" s="43">
        <v>84762</v>
      </c>
      <c r="Q345" s="43">
        <v>89198</v>
      </c>
      <c r="R345" s="43">
        <v>32369</v>
      </c>
      <c r="S345" s="43">
        <v>141794</v>
      </c>
      <c r="T345" s="43">
        <v>71033</v>
      </c>
      <c r="U345" s="43">
        <v>24876</v>
      </c>
      <c r="V345" s="43">
        <v>60208</v>
      </c>
      <c r="W345" s="43">
        <v>7941</v>
      </c>
      <c r="X345" s="44">
        <v>15416</v>
      </c>
    </row>
    <row r="346" spans="1:24" ht="20.45">
      <c r="A346" s="33" t="s">
        <v>52</v>
      </c>
      <c r="B346" s="34" t="s">
        <v>576</v>
      </c>
      <c r="C346" s="34">
        <v>2022</v>
      </c>
      <c r="D346" s="35" t="s">
        <v>581</v>
      </c>
      <c r="E346" s="36">
        <v>2022</v>
      </c>
      <c r="F346" s="37" t="s">
        <v>578</v>
      </c>
      <c r="G346" s="38" t="s">
        <v>579</v>
      </c>
      <c r="H346" s="39"/>
      <c r="I346" s="43">
        <v>20017</v>
      </c>
      <c r="J346" s="43">
        <v>32355</v>
      </c>
      <c r="K346" s="43">
        <v>58319</v>
      </c>
      <c r="L346" s="43">
        <v>27693</v>
      </c>
      <c r="M346" s="43">
        <v>61766</v>
      </c>
      <c r="N346" s="43">
        <v>176644</v>
      </c>
      <c r="O346" s="43">
        <v>945335</v>
      </c>
      <c r="P346" s="43">
        <v>87614</v>
      </c>
      <c r="Q346" s="43">
        <v>88621</v>
      </c>
      <c r="R346" s="43">
        <v>32061</v>
      </c>
      <c r="S346" s="43">
        <v>140728</v>
      </c>
      <c r="T346" s="43">
        <v>71660</v>
      </c>
      <c r="U346" s="43">
        <v>24679</v>
      </c>
      <c r="V346" s="43">
        <v>58458</v>
      </c>
      <c r="W346" s="43">
        <v>8311</v>
      </c>
      <c r="X346" s="44">
        <v>15233</v>
      </c>
    </row>
    <row r="347" spans="1:24" ht="20.45">
      <c r="A347" s="33" t="s">
        <v>52</v>
      </c>
      <c r="B347" s="34" t="s">
        <v>576</v>
      </c>
      <c r="C347" s="34">
        <v>2021</v>
      </c>
      <c r="D347" s="35" t="s">
        <v>582</v>
      </c>
      <c r="E347" s="36">
        <v>2021</v>
      </c>
      <c r="F347" s="37" t="s">
        <v>578</v>
      </c>
      <c r="G347" s="38" t="s">
        <v>579</v>
      </c>
      <c r="H347" s="39"/>
      <c r="I347" s="43">
        <v>20136</v>
      </c>
      <c r="J347" s="43">
        <v>31879</v>
      </c>
      <c r="K347" s="43">
        <v>57209</v>
      </c>
      <c r="L347" s="43">
        <v>27140</v>
      </c>
      <c r="M347" s="43">
        <v>61233</v>
      </c>
      <c r="N347" s="43">
        <v>179656</v>
      </c>
      <c r="O347" s="43">
        <v>931019</v>
      </c>
      <c r="P347" s="43">
        <v>80895</v>
      </c>
      <c r="Q347" s="43">
        <v>85110</v>
      </c>
      <c r="R347" s="43">
        <v>30817</v>
      </c>
      <c r="S347" s="43">
        <v>143050</v>
      </c>
      <c r="T347" s="43">
        <v>68228</v>
      </c>
      <c r="U347" s="43">
        <v>23372</v>
      </c>
      <c r="V347" s="43">
        <v>55449</v>
      </c>
      <c r="W347" s="43">
        <v>8312</v>
      </c>
      <c r="X347" s="44">
        <v>14710</v>
      </c>
    </row>
    <row r="348" spans="1:24" ht="20.45">
      <c r="A348" s="33" t="s">
        <v>52</v>
      </c>
      <c r="B348" s="34" t="s">
        <v>576</v>
      </c>
      <c r="C348" s="34">
        <v>2020</v>
      </c>
      <c r="D348" s="35" t="s">
        <v>583</v>
      </c>
      <c r="E348" s="36">
        <v>2020</v>
      </c>
      <c r="F348" s="37" t="s">
        <v>578</v>
      </c>
      <c r="G348" s="38" t="s">
        <v>579</v>
      </c>
      <c r="H348" s="39"/>
      <c r="I348" s="43">
        <v>19792</v>
      </c>
      <c r="J348" s="43">
        <v>31916</v>
      </c>
      <c r="K348" s="43">
        <v>54970</v>
      </c>
      <c r="L348" s="43">
        <v>26399</v>
      </c>
      <c r="M348" s="43">
        <v>59311</v>
      </c>
      <c r="N348" s="43">
        <v>172073</v>
      </c>
      <c r="O348" s="43">
        <v>928478</v>
      </c>
      <c r="P348" s="43">
        <v>77682</v>
      </c>
      <c r="Q348" s="43">
        <v>83747</v>
      </c>
      <c r="R348" s="43">
        <v>30039</v>
      </c>
      <c r="S348" s="43">
        <v>140633</v>
      </c>
      <c r="T348" s="43">
        <v>71801</v>
      </c>
      <c r="U348" s="43">
        <v>22639</v>
      </c>
      <c r="V348" s="43">
        <v>55003</v>
      </c>
      <c r="W348" s="43">
        <v>7978</v>
      </c>
      <c r="X348" s="44">
        <v>14169</v>
      </c>
    </row>
    <row r="349" spans="1:24" ht="20.45">
      <c r="A349" s="33" t="s">
        <v>52</v>
      </c>
      <c r="B349" s="34" t="s">
        <v>576</v>
      </c>
      <c r="C349" s="34">
        <v>2024</v>
      </c>
      <c r="D349" s="35" t="s">
        <v>584</v>
      </c>
      <c r="E349" s="36">
        <v>2024</v>
      </c>
      <c r="F349" s="37" t="s">
        <v>578</v>
      </c>
      <c r="G349" s="38" t="s">
        <v>585</v>
      </c>
      <c r="H349" s="39"/>
      <c r="I349" s="43">
        <v>13181</v>
      </c>
      <c r="J349" s="43">
        <v>22371</v>
      </c>
      <c r="K349" s="43">
        <v>40874</v>
      </c>
      <c r="L349" s="43">
        <v>17925</v>
      </c>
      <c r="M349" s="43">
        <v>46131</v>
      </c>
      <c r="N349" s="43">
        <v>115206</v>
      </c>
      <c r="O349" s="43">
        <v>618937</v>
      </c>
      <c r="P349" s="43">
        <v>53474</v>
      </c>
      <c r="Q349" s="43">
        <v>53064</v>
      </c>
      <c r="R349" s="43">
        <v>20636</v>
      </c>
      <c r="S349" s="43">
        <v>96340</v>
      </c>
      <c r="T349" s="43">
        <v>46802</v>
      </c>
      <c r="U349" s="43">
        <v>17031</v>
      </c>
      <c r="V349" s="43">
        <v>37983</v>
      </c>
      <c r="W349" s="43">
        <v>5965</v>
      </c>
      <c r="X349" s="44">
        <v>12453</v>
      </c>
    </row>
    <row r="350" spans="1:24" ht="20.45">
      <c r="A350" s="33" t="s">
        <v>52</v>
      </c>
      <c r="B350" s="34" t="s">
        <v>576</v>
      </c>
      <c r="C350" s="34">
        <v>2023</v>
      </c>
      <c r="D350" s="35" t="s">
        <v>586</v>
      </c>
      <c r="E350" s="36">
        <v>2023</v>
      </c>
      <c r="F350" s="37" t="s">
        <v>578</v>
      </c>
      <c r="G350" s="38" t="s">
        <v>585</v>
      </c>
      <c r="H350" s="39"/>
      <c r="I350" s="43">
        <v>14002</v>
      </c>
      <c r="J350" s="43">
        <v>22744</v>
      </c>
      <c r="K350" s="43">
        <v>40607</v>
      </c>
      <c r="L350" s="43">
        <v>18336</v>
      </c>
      <c r="M350" s="43">
        <v>46388</v>
      </c>
      <c r="N350" s="43">
        <v>114677</v>
      </c>
      <c r="O350" s="43">
        <v>611808</v>
      </c>
      <c r="P350" s="43">
        <v>53612</v>
      </c>
      <c r="Q350" s="43">
        <v>53112</v>
      </c>
      <c r="R350" s="43">
        <v>20858</v>
      </c>
      <c r="S350" s="43">
        <v>96759</v>
      </c>
      <c r="T350" s="43">
        <v>48413</v>
      </c>
      <c r="U350" s="43">
        <v>17192</v>
      </c>
      <c r="V350" s="43">
        <v>37927</v>
      </c>
      <c r="W350" s="43">
        <v>5957</v>
      </c>
      <c r="X350" s="44">
        <v>12799</v>
      </c>
    </row>
    <row r="351" spans="1:24" ht="20.45">
      <c r="A351" s="33" t="s">
        <v>52</v>
      </c>
      <c r="B351" s="34" t="s">
        <v>576</v>
      </c>
      <c r="C351" s="34">
        <v>2022</v>
      </c>
      <c r="D351" s="35" t="s">
        <v>587</v>
      </c>
      <c r="E351" s="36">
        <v>2022</v>
      </c>
      <c r="F351" s="37" t="s">
        <v>578</v>
      </c>
      <c r="G351" s="38" t="s">
        <v>585</v>
      </c>
      <c r="H351" s="39"/>
      <c r="I351" s="43">
        <v>13960</v>
      </c>
      <c r="J351" s="43">
        <v>22634</v>
      </c>
      <c r="K351" s="43">
        <v>40141</v>
      </c>
      <c r="L351" s="43">
        <v>18284</v>
      </c>
      <c r="M351" s="43">
        <v>44692</v>
      </c>
      <c r="N351" s="43">
        <v>114292</v>
      </c>
      <c r="O351" s="43">
        <v>615732</v>
      </c>
      <c r="P351" s="43">
        <v>52916</v>
      </c>
      <c r="Q351" s="43">
        <v>53027</v>
      </c>
      <c r="R351" s="43">
        <v>21121</v>
      </c>
      <c r="S351" s="43">
        <v>95764</v>
      </c>
      <c r="T351" s="43">
        <v>48086</v>
      </c>
      <c r="U351" s="43">
        <v>17151</v>
      </c>
      <c r="V351" s="43">
        <v>37316</v>
      </c>
      <c r="W351" s="43">
        <v>6163</v>
      </c>
      <c r="X351" s="44">
        <v>12896</v>
      </c>
    </row>
    <row r="352" spans="1:24" ht="20.45">
      <c r="A352" s="33" t="s">
        <v>52</v>
      </c>
      <c r="B352" s="34" t="s">
        <v>576</v>
      </c>
      <c r="C352" s="34">
        <v>2021</v>
      </c>
      <c r="D352" s="35" t="s">
        <v>588</v>
      </c>
      <c r="E352" s="36">
        <v>2021</v>
      </c>
      <c r="F352" s="37" t="s">
        <v>578</v>
      </c>
      <c r="G352" s="38" t="s">
        <v>585</v>
      </c>
      <c r="H352" s="39"/>
      <c r="I352" s="43">
        <v>13481</v>
      </c>
      <c r="J352" s="43">
        <v>22251</v>
      </c>
      <c r="K352" s="43">
        <v>39319</v>
      </c>
      <c r="L352" s="43">
        <v>18163</v>
      </c>
      <c r="M352" s="43">
        <v>44948</v>
      </c>
      <c r="N352" s="43">
        <v>115513</v>
      </c>
      <c r="O352" s="43">
        <v>626837</v>
      </c>
      <c r="P352" s="43">
        <v>52786</v>
      </c>
      <c r="Q352" s="43">
        <v>51171</v>
      </c>
      <c r="R352" s="43">
        <v>20540</v>
      </c>
      <c r="S352" s="43">
        <v>95391</v>
      </c>
      <c r="T352" s="43">
        <v>47450</v>
      </c>
      <c r="U352" s="43">
        <v>16624</v>
      </c>
      <c r="V352" s="43">
        <v>36445</v>
      </c>
      <c r="W352" s="43">
        <v>6037</v>
      </c>
      <c r="X352" s="44">
        <v>12527</v>
      </c>
    </row>
    <row r="353" spans="1:24" ht="20.45">
      <c r="A353" s="33" t="s">
        <v>52</v>
      </c>
      <c r="B353" s="34" t="s">
        <v>576</v>
      </c>
      <c r="C353" s="34">
        <v>2020</v>
      </c>
      <c r="D353" s="35" t="s">
        <v>589</v>
      </c>
      <c r="E353" s="36">
        <v>2020</v>
      </c>
      <c r="F353" s="37" t="s">
        <v>578</v>
      </c>
      <c r="G353" s="38" t="s">
        <v>585</v>
      </c>
      <c r="H353" s="39"/>
      <c r="I353" s="43">
        <v>13767</v>
      </c>
      <c r="J353" s="43">
        <v>21996</v>
      </c>
      <c r="K353" s="43">
        <v>35320</v>
      </c>
      <c r="L353" s="43">
        <v>17329</v>
      </c>
      <c r="M353" s="43">
        <v>42993</v>
      </c>
      <c r="N353" s="43">
        <v>112254</v>
      </c>
      <c r="O353" s="43">
        <v>619824</v>
      </c>
      <c r="P353" s="43">
        <v>51515</v>
      </c>
      <c r="Q353" s="43">
        <v>48920</v>
      </c>
      <c r="R353" s="43">
        <v>19812</v>
      </c>
      <c r="S353" s="43">
        <v>91501</v>
      </c>
      <c r="T353" s="43">
        <v>45559</v>
      </c>
      <c r="U353" s="43">
        <v>15333</v>
      </c>
      <c r="V353" s="43">
        <v>34945</v>
      </c>
      <c r="W353" s="43">
        <v>5696</v>
      </c>
      <c r="X353" s="44">
        <v>11813</v>
      </c>
    </row>
    <row r="354" spans="1:24" ht="20.45">
      <c r="A354" s="33" t="s">
        <v>52</v>
      </c>
      <c r="B354" s="34" t="s">
        <v>590</v>
      </c>
      <c r="C354" s="34">
        <v>2024</v>
      </c>
      <c r="D354" s="35" t="s">
        <v>591</v>
      </c>
      <c r="E354" s="36">
        <v>2024</v>
      </c>
      <c r="F354" s="37" t="s">
        <v>592</v>
      </c>
      <c r="G354" s="38" t="s">
        <v>585</v>
      </c>
      <c r="H354" s="39"/>
      <c r="I354" s="43">
        <v>0.4</v>
      </c>
      <c r="J354" s="43">
        <v>0</v>
      </c>
      <c r="K354" s="43">
        <v>1.4</v>
      </c>
      <c r="L354" s="43">
        <v>12.5</v>
      </c>
      <c r="M354" s="43">
        <v>89.2</v>
      </c>
      <c r="N354" s="43">
        <v>391.6</v>
      </c>
      <c r="O354" s="43">
        <v>327</v>
      </c>
      <c r="P354" s="43">
        <v>193.7</v>
      </c>
      <c r="Q354" s="43">
        <v>589.4</v>
      </c>
      <c r="R354" s="43">
        <v>772.7</v>
      </c>
      <c r="S354" s="43">
        <v>919.4</v>
      </c>
      <c r="T354" s="43">
        <v>974.5</v>
      </c>
      <c r="U354" s="43">
        <v>1280.2</v>
      </c>
      <c r="V354" s="43">
        <v>1202.5999999999999</v>
      </c>
      <c r="W354" s="43">
        <v>853.4</v>
      </c>
      <c r="X354" s="44">
        <v>363.6</v>
      </c>
    </row>
    <row r="355" spans="1:24" ht="20.45">
      <c r="A355" s="33" t="s">
        <v>52</v>
      </c>
      <c r="B355" s="34" t="s">
        <v>590</v>
      </c>
      <c r="C355" s="34">
        <v>2023</v>
      </c>
      <c r="D355" s="35" t="s">
        <v>593</v>
      </c>
      <c r="E355" s="36">
        <v>2023</v>
      </c>
      <c r="F355" s="37" t="s">
        <v>592</v>
      </c>
      <c r="G355" s="38" t="s">
        <v>585</v>
      </c>
      <c r="H355" s="39"/>
      <c r="I355" s="43">
        <v>3.2</v>
      </c>
      <c r="J355" s="43">
        <v>0</v>
      </c>
      <c r="K355" s="43">
        <v>1.1000000000000001</v>
      </c>
      <c r="L355" s="43">
        <v>3.4</v>
      </c>
      <c r="M355" s="43">
        <v>12.1</v>
      </c>
      <c r="N355" s="43">
        <v>350.2</v>
      </c>
      <c r="O355" s="43">
        <v>207.7</v>
      </c>
      <c r="P355" s="43">
        <v>227.4</v>
      </c>
      <c r="Q355" s="43">
        <v>740.6</v>
      </c>
      <c r="R355" s="43">
        <v>984.3</v>
      </c>
      <c r="S355" s="43">
        <v>797.7</v>
      </c>
      <c r="T355" s="43">
        <v>622.4</v>
      </c>
      <c r="U355" s="43">
        <v>1241.2</v>
      </c>
      <c r="V355" s="43">
        <v>1313</v>
      </c>
      <c r="W355" s="43">
        <v>1140.0999999999999</v>
      </c>
      <c r="X355" s="44">
        <v>289.2</v>
      </c>
    </row>
    <row r="356" spans="1:24" ht="20.45">
      <c r="A356" s="33" t="s">
        <v>52</v>
      </c>
      <c r="B356" s="34" t="s">
        <v>590</v>
      </c>
      <c r="C356" s="34">
        <v>2022</v>
      </c>
      <c r="D356" s="35" t="s">
        <v>594</v>
      </c>
      <c r="E356" s="36">
        <v>2022</v>
      </c>
      <c r="F356" s="37" t="s">
        <v>592</v>
      </c>
      <c r="G356" s="38" t="s">
        <v>585</v>
      </c>
      <c r="H356" s="39"/>
      <c r="I356" s="43">
        <v>0.9</v>
      </c>
      <c r="J356" s="43"/>
      <c r="K356" s="43">
        <v>0.2</v>
      </c>
      <c r="L356" s="43">
        <v>37.200000000000003</v>
      </c>
      <c r="M356" s="43">
        <v>87.7</v>
      </c>
      <c r="N356" s="43">
        <v>290.3</v>
      </c>
      <c r="O356" s="43">
        <v>120</v>
      </c>
      <c r="P356" s="43">
        <v>54.8</v>
      </c>
      <c r="Q356" s="43">
        <v>350.7</v>
      </c>
      <c r="R356" s="43">
        <v>676.8</v>
      </c>
      <c r="S356" s="43">
        <v>835.2</v>
      </c>
      <c r="T356" s="43">
        <v>1031.7</v>
      </c>
      <c r="U356" s="43">
        <v>1367.8</v>
      </c>
      <c r="V356" s="43">
        <v>1279.5999999999999</v>
      </c>
      <c r="W356" s="43">
        <v>1029.8</v>
      </c>
      <c r="X356" s="44">
        <v>193</v>
      </c>
    </row>
    <row r="357" spans="1:24" ht="20.45">
      <c r="A357" s="33" t="s">
        <v>52</v>
      </c>
      <c r="B357" s="34" t="s">
        <v>590</v>
      </c>
      <c r="C357" s="34">
        <v>2021</v>
      </c>
      <c r="D357" s="35" t="s">
        <v>595</v>
      </c>
      <c r="E357" s="36">
        <v>2021</v>
      </c>
      <c r="F357" s="37" t="s">
        <v>592</v>
      </c>
      <c r="G357" s="38" t="s">
        <v>585</v>
      </c>
      <c r="H357" s="39"/>
      <c r="I357" s="43">
        <v>1.5</v>
      </c>
      <c r="J357" s="43">
        <v>2</v>
      </c>
      <c r="K357" s="43">
        <v>0.4</v>
      </c>
      <c r="L357" s="43">
        <v>11.2</v>
      </c>
      <c r="M357" s="43">
        <v>15.8</v>
      </c>
      <c r="N357" s="43">
        <v>104.9</v>
      </c>
      <c r="O357" s="43">
        <v>75.900000000000006</v>
      </c>
      <c r="P357" s="43">
        <v>89.8</v>
      </c>
      <c r="Q357" s="43">
        <v>327.2</v>
      </c>
      <c r="R357" s="43">
        <v>552.4</v>
      </c>
      <c r="S357" s="43">
        <v>559.20000000000005</v>
      </c>
      <c r="T357" s="43">
        <v>715.2</v>
      </c>
      <c r="U357" s="43">
        <v>949</v>
      </c>
      <c r="V357" s="43">
        <v>921.7</v>
      </c>
      <c r="W357" s="43">
        <v>720.9</v>
      </c>
      <c r="X357" s="44">
        <v>242.2</v>
      </c>
    </row>
    <row r="358" spans="1:24" ht="20.45">
      <c r="A358" s="33" t="s">
        <v>52</v>
      </c>
      <c r="B358" s="34" t="s">
        <v>590</v>
      </c>
      <c r="C358" s="34">
        <v>2020</v>
      </c>
      <c r="D358" s="35" t="s">
        <v>596</v>
      </c>
      <c r="E358" s="36">
        <v>2020</v>
      </c>
      <c r="F358" s="37" t="s">
        <v>592</v>
      </c>
      <c r="G358" s="38" t="s">
        <v>585</v>
      </c>
      <c r="H358" s="39"/>
      <c r="I358" s="43">
        <v>7.8</v>
      </c>
      <c r="J358" s="43">
        <v>2.6</v>
      </c>
      <c r="K358" s="43">
        <v>3.2</v>
      </c>
      <c r="L358" s="43">
        <v>0.2</v>
      </c>
      <c r="M358" s="43">
        <v>50</v>
      </c>
      <c r="N358" s="43">
        <v>261.10000000000002</v>
      </c>
      <c r="O358" s="43">
        <v>150.1</v>
      </c>
      <c r="P358" s="43">
        <v>264.2</v>
      </c>
      <c r="Q358" s="43">
        <v>438</v>
      </c>
      <c r="R358" s="43">
        <v>572.5</v>
      </c>
      <c r="S358" s="43">
        <v>808.8</v>
      </c>
      <c r="T358" s="43">
        <v>823.7</v>
      </c>
      <c r="U358" s="43">
        <v>1400.9</v>
      </c>
      <c r="V358" s="43">
        <v>1352</v>
      </c>
      <c r="W358" s="43">
        <v>1039.2</v>
      </c>
      <c r="X358" s="44">
        <v>300.39999999999998</v>
      </c>
    </row>
    <row r="359" spans="1:24" ht="20.45">
      <c r="A359" s="33" t="s">
        <v>54</v>
      </c>
      <c r="B359" s="34" t="s">
        <v>58</v>
      </c>
      <c r="C359" s="34" t="s">
        <v>597</v>
      </c>
      <c r="D359" s="35" t="s">
        <v>597</v>
      </c>
      <c r="E359" s="36">
        <v>2024</v>
      </c>
      <c r="F359" s="37" t="s">
        <v>598</v>
      </c>
      <c r="G359" s="38" t="s">
        <v>141</v>
      </c>
      <c r="H359" s="39">
        <v>2.8</v>
      </c>
      <c r="I359" s="40">
        <v>3</v>
      </c>
      <c r="J359" s="40">
        <v>3</v>
      </c>
      <c r="K359" s="40">
        <v>2.9</v>
      </c>
      <c r="L359" s="40">
        <v>2.9</v>
      </c>
      <c r="M359" s="40">
        <v>2.8</v>
      </c>
      <c r="N359" s="40">
        <v>2.7</v>
      </c>
      <c r="O359" s="40">
        <v>2.8</v>
      </c>
      <c r="P359" s="40">
        <v>2.8</v>
      </c>
      <c r="Q359" s="40">
        <v>2.7</v>
      </c>
      <c r="R359" s="40">
        <v>2.7</v>
      </c>
      <c r="S359" s="40">
        <v>2.8</v>
      </c>
      <c r="T359" s="40">
        <v>2.7</v>
      </c>
      <c r="U359" s="40">
        <v>2.7</v>
      </c>
      <c r="V359" s="40">
        <v>2.7</v>
      </c>
      <c r="W359" s="40">
        <v>2.5</v>
      </c>
      <c r="X359" s="41">
        <v>2.6</v>
      </c>
    </row>
    <row r="360" spans="1:24" ht="20.45">
      <c r="A360" s="33" t="s">
        <v>54</v>
      </c>
      <c r="B360" s="34" t="s">
        <v>599</v>
      </c>
      <c r="C360" s="34" t="s">
        <v>969</v>
      </c>
      <c r="D360" s="35" t="s">
        <v>600</v>
      </c>
      <c r="E360" s="36">
        <v>2024</v>
      </c>
      <c r="F360" s="37" t="s">
        <v>113</v>
      </c>
      <c r="G360" s="38" t="s">
        <v>141</v>
      </c>
      <c r="H360" s="49">
        <v>1.0999999999999999E-2</v>
      </c>
      <c r="I360" s="50">
        <v>5.8999999999999997E-2</v>
      </c>
      <c r="J360" s="50">
        <v>4.4999999999999998E-2</v>
      </c>
      <c r="K360" s="50">
        <v>2.7E-2</v>
      </c>
      <c r="L360" s="50">
        <v>2.5999999999999999E-2</v>
      </c>
      <c r="M360" s="50">
        <v>1.6E-2</v>
      </c>
      <c r="N360" s="50">
        <v>1.4E-2</v>
      </c>
      <c r="O360" s="50">
        <v>6.0000000000000001E-3</v>
      </c>
      <c r="P360" s="50">
        <v>8.9999999999999993E-3</v>
      </c>
      <c r="Q360" s="50">
        <v>8.9999999999999993E-3</v>
      </c>
      <c r="R360" s="50">
        <v>1.2E-2</v>
      </c>
      <c r="S360" s="50">
        <v>8.9999999999999993E-3</v>
      </c>
      <c r="T360" s="50">
        <v>1.0999999999999999E-2</v>
      </c>
      <c r="U360" s="50">
        <v>1.2E-2</v>
      </c>
      <c r="V360" s="50">
        <v>1.6E-2</v>
      </c>
      <c r="W360" s="50">
        <v>1.4999999999999999E-2</v>
      </c>
      <c r="X360" s="51">
        <v>6.0000000000000001E-3</v>
      </c>
    </row>
    <row r="361" spans="1:24" ht="20.45">
      <c r="A361" s="33" t="s">
        <v>54</v>
      </c>
      <c r="B361" s="34" t="s">
        <v>599</v>
      </c>
      <c r="C361" s="34" t="s">
        <v>93</v>
      </c>
      <c r="D361" s="35" t="s">
        <v>601</v>
      </c>
      <c r="E361" s="36">
        <v>2024</v>
      </c>
      <c r="F361" s="37" t="s">
        <v>113</v>
      </c>
      <c r="G361" s="38" t="s">
        <v>141</v>
      </c>
      <c r="H361" s="49">
        <v>5.7000000000000002E-2</v>
      </c>
      <c r="I361" s="50">
        <v>0.08</v>
      </c>
      <c r="J361" s="50">
        <v>0.104</v>
      </c>
      <c r="K361" s="50">
        <v>7.5999999999999998E-2</v>
      </c>
      <c r="L361" s="50">
        <v>5.7000000000000002E-2</v>
      </c>
      <c r="M361" s="50">
        <v>4.5999999999999999E-2</v>
      </c>
      <c r="N361" s="50">
        <v>4.5999999999999999E-2</v>
      </c>
      <c r="O361" s="50">
        <v>6.5000000000000002E-2</v>
      </c>
      <c r="P361" s="50">
        <v>5.0999999999999997E-2</v>
      </c>
      <c r="Q361" s="50">
        <v>5.3999999999999999E-2</v>
      </c>
      <c r="R361" s="50">
        <v>4.3999999999999997E-2</v>
      </c>
      <c r="S361" s="50">
        <v>4.7E-2</v>
      </c>
      <c r="T361" s="50">
        <v>5.3999999999999999E-2</v>
      </c>
      <c r="U361" s="50">
        <v>4.8000000000000001E-2</v>
      </c>
      <c r="V361" s="50">
        <v>4.7E-2</v>
      </c>
      <c r="W361" s="50">
        <v>0.05</v>
      </c>
      <c r="X361" s="51">
        <v>4.1000000000000002E-2</v>
      </c>
    </row>
    <row r="362" spans="1:24" ht="39.6">
      <c r="A362" s="33" t="s">
        <v>54</v>
      </c>
      <c r="B362" s="34" t="s">
        <v>602</v>
      </c>
      <c r="C362" s="34" t="s">
        <v>970</v>
      </c>
      <c r="D362" s="35" t="s">
        <v>603</v>
      </c>
      <c r="E362" s="36">
        <v>2024</v>
      </c>
      <c r="F362" s="37" t="s">
        <v>113</v>
      </c>
      <c r="G362" s="38" t="s">
        <v>141</v>
      </c>
      <c r="H362" s="49">
        <v>0.61099999999999999</v>
      </c>
      <c r="I362" s="50">
        <v>0.53400000000000003</v>
      </c>
      <c r="J362" s="50">
        <v>0.47699999999999998</v>
      </c>
      <c r="K362" s="50">
        <v>0.48599999999999999</v>
      </c>
      <c r="L362" s="50">
        <v>0.64900000000000002</v>
      </c>
      <c r="M362" s="50">
        <v>0.66100000000000003</v>
      </c>
      <c r="N362" s="50">
        <v>0.60899999999999999</v>
      </c>
      <c r="O362" s="50">
        <v>0.56100000000000005</v>
      </c>
      <c r="P362" s="50">
        <v>0.66400000000000003</v>
      </c>
      <c r="Q362" s="50">
        <v>0.70299999999999996</v>
      </c>
      <c r="R362" s="50">
        <v>0.69399999999999995</v>
      </c>
      <c r="S362" s="50">
        <v>0.67600000000000005</v>
      </c>
      <c r="T362" s="50">
        <v>0.69</v>
      </c>
      <c r="U362" s="50">
        <v>0.64500000000000002</v>
      </c>
      <c r="V362" s="50">
        <v>0.66500000000000004</v>
      </c>
      <c r="W362" s="50">
        <v>0.60899999999999999</v>
      </c>
      <c r="X362" s="51">
        <v>0.63</v>
      </c>
    </row>
    <row r="363" spans="1:24" ht="20.45">
      <c r="A363" s="33" t="s">
        <v>56</v>
      </c>
      <c r="B363" s="34" t="s">
        <v>604</v>
      </c>
      <c r="C363" s="34" t="s">
        <v>971</v>
      </c>
      <c r="D363" s="35" t="s">
        <v>605</v>
      </c>
      <c r="E363" s="36">
        <v>2024</v>
      </c>
      <c r="F363" s="37" t="s">
        <v>113</v>
      </c>
      <c r="G363" s="38" t="s">
        <v>141</v>
      </c>
      <c r="H363" s="39"/>
      <c r="I363" s="50">
        <v>0.91</v>
      </c>
      <c r="J363" s="50">
        <v>0.88400000000000001</v>
      </c>
      <c r="K363" s="50">
        <v>0.95899999999999996</v>
      </c>
      <c r="L363" s="50">
        <v>0.871</v>
      </c>
      <c r="M363" s="50">
        <v>0.9</v>
      </c>
      <c r="N363" s="50">
        <v>0.92800000000000005</v>
      </c>
      <c r="O363" s="50">
        <v>0.97899999999999998</v>
      </c>
      <c r="P363" s="50">
        <v>0.94699999999999995</v>
      </c>
      <c r="Q363" s="50">
        <v>0.90200000000000002</v>
      </c>
      <c r="R363" s="50">
        <v>0.81499999999999995</v>
      </c>
      <c r="S363" s="50">
        <v>0.89900000000000002</v>
      </c>
      <c r="T363" s="50">
        <v>0.80300000000000005</v>
      </c>
      <c r="U363" s="50">
        <v>0.80100000000000005</v>
      </c>
      <c r="V363" s="50">
        <v>0.81100000000000005</v>
      </c>
      <c r="W363" s="50">
        <v>0.874</v>
      </c>
      <c r="X363" s="51">
        <v>0.95399999999999996</v>
      </c>
    </row>
    <row r="364" spans="1:24" ht="20.45">
      <c r="A364" s="33" t="s">
        <v>56</v>
      </c>
      <c r="B364" s="34" t="s">
        <v>604</v>
      </c>
      <c r="C364" s="34" t="s">
        <v>972</v>
      </c>
      <c r="D364" s="35" t="s">
        <v>606</v>
      </c>
      <c r="E364" s="36">
        <v>2024</v>
      </c>
      <c r="F364" s="37" t="s">
        <v>113</v>
      </c>
      <c r="G364" s="38" t="s">
        <v>141</v>
      </c>
      <c r="H364" s="47">
        <v>0.96699999999999997</v>
      </c>
      <c r="I364" s="50">
        <v>0.88600000000000001</v>
      </c>
      <c r="J364" s="50">
        <v>0.877</v>
      </c>
      <c r="K364" s="50">
        <v>0.93700000000000006</v>
      </c>
      <c r="L364" s="50">
        <v>0.91700000000000004</v>
      </c>
      <c r="M364" s="50">
        <v>0.94799999999999995</v>
      </c>
      <c r="N364" s="50">
        <v>0.96799999999999997</v>
      </c>
      <c r="O364" s="50">
        <v>0.97599999999999998</v>
      </c>
      <c r="P364" s="50">
        <v>0.97299999999999998</v>
      </c>
      <c r="Q364" s="50">
        <v>0.97099999999999997</v>
      </c>
      <c r="R364" s="50">
        <v>0.96799999999999997</v>
      </c>
      <c r="S364" s="50">
        <v>0.98</v>
      </c>
      <c r="T364" s="50">
        <v>0.95199999999999996</v>
      </c>
      <c r="U364" s="50">
        <v>0.97899999999999998</v>
      </c>
      <c r="V364" s="50">
        <v>0.97399999999999998</v>
      </c>
      <c r="W364" s="50">
        <v>0.97499999999999998</v>
      </c>
      <c r="X364" s="51">
        <v>0.98399999999999999</v>
      </c>
    </row>
    <row r="365" spans="1:24" ht="39.6">
      <c r="A365" s="33" t="s">
        <v>56</v>
      </c>
      <c r="B365" s="34" t="s">
        <v>607</v>
      </c>
      <c r="C365" s="34" t="s">
        <v>973</v>
      </c>
      <c r="D365" s="35" t="s">
        <v>608</v>
      </c>
      <c r="E365" s="36">
        <v>2024</v>
      </c>
      <c r="F365" s="37" t="s">
        <v>113</v>
      </c>
      <c r="G365" s="38" t="s">
        <v>141</v>
      </c>
      <c r="H365" s="52">
        <v>0.97</v>
      </c>
      <c r="I365" s="50">
        <v>0.94099999999999995</v>
      </c>
      <c r="J365" s="50">
        <v>0.94299999999999995</v>
      </c>
      <c r="K365" s="50">
        <v>0.97899999999999998</v>
      </c>
      <c r="L365" s="50">
        <v>0.95599999999999996</v>
      </c>
      <c r="M365" s="50">
        <v>0.96799999999999997</v>
      </c>
      <c r="N365" s="50">
        <v>0.98</v>
      </c>
      <c r="O365" s="50">
        <v>0.995</v>
      </c>
      <c r="P365" s="50">
        <v>0.96799999999999997</v>
      </c>
      <c r="Q365" s="50">
        <v>0.97399999999999998</v>
      </c>
      <c r="R365" s="50">
        <v>0.96499999999999997</v>
      </c>
      <c r="S365" s="50">
        <v>0.97799999999999998</v>
      </c>
      <c r="T365" s="50">
        <v>0.89800000000000002</v>
      </c>
      <c r="U365" s="50">
        <v>0.89800000000000002</v>
      </c>
      <c r="V365" s="50">
        <v>0.88200000000000001</v>
      </c>
      <c r="W365" s="50">
        <v>0.95799999999999996</v>
      </c>
      <c r="X365" s="51">
        <v>0.99099999999999999</v>
      </c>
    </row>
    <row r="366" spans="1:24" ht="20.45">
      <c r="A366" s="33" t="s">
        <v>56</v>
      </c>
      <c r="B366" s="34" t="s">
        <v>607</v>
      </c>
      <c r="C366" s="34" t="s">
        <v>974</v>
      </c>
      <c r="D366" s="35" t="s">
        <v>609</v>
      </c>
      <c r="E366" s="36">
        <v>2024</v>
      </c>
      <c r="F366" s="37" t="s">
        <v>113</v>
      </c>
      <c r="G366" s="38" t="s">
        <v>141</v>
      </c>
      <c r="H366" s="49">
        <v>2E-3</v>
      </c>
      <c r="I366" s="50">
        <v>6.0000000000000001E-3</v>
      </c>
      <c r="J366" s="50">
        <v>4.0000000000000001E-3</v>
      </c>
      <c r="K366" s="50">
        <v>2E-3</v>
      </c>
      <c r="L366" s="50">
        <v>4.0000000000000001E-3</v>
      </c>
      <c r="M366" s="50">
        <v>3.0000000000000001E-3</v>
      </c>
      <c r="N366" s="50">
        <v>4.0000000000000001E-3</v>
      </c>
      <c r="O366" s="50">
        <v>1E-3</v>
      </c>
      <c r="P366" s="50">
        <v>3.0000000000000001E-3</v>
      </c>
      <c r="Q366" s="50">
        <v>3.0000000000000001E-3</v>
      </c>
      <c r="R366" s="50">
        <v>3.0000000000000001E-3</v>
      </c>
      <c r="S366" s="50">
        <v>3.0000000000000001E-3</v>
      </c>
      <c r="T366" s="50">
        <v>3.0000000000000001E-3</v>
      </c>
      <c r="U366" s="50">
        <v>4.0000000000000001E-3</v>
      </c>
      <c r="V366" s="50">
        <v>3.0000000000000001E-3</v>
      </c>
      <c r="W366" s="50">
        <v>3.0000000000000001E-3</v>
      </c>
      <c r="X366" s="51">
        <v>1E-3</v>
      </c>
    </row>
    <row r="367" spans="1:24" ht="20.45">
      <c r="A367" s="33" t="s">
        <v>56</v>
      </c>
      <c r="B367" s="34" t="s">
        <v>610</v>
      </c>
      <c r="C367" s="34" t="s">
        <v>975</v>
      </c>
      <c r="D367" s="35" t="s">
        <v>611</v>
      </c>
      <c r="E367" s="36">
        <v>2024</v>
      </c>
      <c r="F367" s="37" t="s">
        <v>113</v>
      </c>
      <c r="G367" s="38" t="s">
        <v>141</v>
      </c>
      <c r="H367" s="47">
        <v>0.93200000000000005</v>
      </c>
      <c r="I367" s="53">
        <v>0.94399999999999995</v>
      </c>
      <c r="J367" s="53">
        <v>0.95399999999999996</v>
      </c>
      <c r="K367" s="53">
        <v>0.96599999999999997</v>
      </c>
      <c r="L367" s="53">
        <v>0.93400000000000005</v>
      </c>
      <c r="M367" s="53">
        <v>0.92100000000000004</v>
      </c>
      <c r="N367" s="53">
        <v>0.94</v>
      </c>
      <c r="O367" s="53">
        <v>0.95599999999999996</v>
      </c>
      <c r="P367" s="53">
        <v>0.91200000000000003</v>
      </c>
      <c r="Q367" s="53">
        <v>0.89400000000000002</v>
      </c>
      <c r="R367" s="53">
        <v>0.873</v>
      </c>
      <c r="S367" s="53">
        <v>0.92</v>
      </c>
      <c r="T367" s="53">
        <v>0.873</v>
      </c>
      <c r="U367" s="53">
        <v>0.89900000000000002</v>
      </c>
      <c r="V367" s="53">
        <v>0.90900000000000003</v>
      </c>
      <c r="W367" s="53">
        <v>0.91100000000000003</v>
      </c>
      <c r="X367" s="54">
        <v>0.95399999999999996</v>
      </c>
    </row>
    <row r="368" spans="1:24" ht="39.6">
      <c r="A368" s="33" t="s">
        <v>58</v>
      </c>
      <c r="B368" s="34" t="s">
        <v>612</v>
      </c>
      <c r="C368" s="34">
        <v>1992</v>
      </c>
      <c r="D368" s="35" t="s">
        <v>613</v>
      </c>
      <c r="E368" s="36">
        <v>1992</v>
      </c>
      <c r="F368" s="37" t="s">
        <v>113</v>
      </c>
      <c r="G368" s="38" t="s">
        <v>141</v>
      </c>
      <c r="H368" s="49">
        <v>0.62</v>
      </c>
      <c r="I368" s="50">
        <v>0.629</v>
      </c>
      <c r="J368" s="50">
        <v>0.63300000000000001</v>
      </c>
      <c r="K368" s="50">
        <v>0.63900000000000001</v>
      </c>
      <c r="L368" s="50">
        <v>0.64</v>
      </c>
      <c r="M368" s="50">
        <v>0.63400000000000001</v>
      </c>
      <c r="N368" s="50">
        <v>0.57199999999999995</v>
      </c>
      <c r="O368" s="50">
        <v>0.60699999999999998</v>
      </c>
      <c r="P368" s="50">
        <v>0.63900000000000001</v>
      </c>
      <c r="Q368" s="50">
        <v>0.64300000000000002</v>
      </c>
      <c r="R368" s="50">
        <v>0.64400000000000002</v>
      </c>
      <c r="S368" s="50">
        <v>0.66</v>
      </c>
      <c r="T368" s="50">
        <v>0.63200000000000001</v>
      </c>
      <c r="U368" s="50">
        <v>0.63800000000000001</v>
      </c>
      <c r="V368" s="50">
        <v>0.64500000000000002</v>
      </c>
      <c r="W368" s="50">
        <v>0.65</v>
      </c>
      <c r="X368" s="51">
        <v>0.58899999999999997</v>
      </c>
    </row>
    <row r="369" spans="1:24" ht="39.6">
      <c r="A369" s="33" t="s">
        <v>58</v>
      </c>
      <c r="B369" s="34" t="s">
        <v>612</v>
      </c>
      <c r="C369" s="34">
        <v>2002</v>
      </c>
      <c r="D369" s="35" t="s">
        <v>614</v>
      </c>
      <c r="E369" s="36">
        <v>2002</v>
      </c>
      <c r="F369" s="37" t="s">
        <v>113</v>
      </c>
      <c r="G369" s="38" t="s">
        <v>141</v>
      </c>
      <c r="H369" s="49">
        <v>0.54300000000000004</v>
      </c>
      <c r="I369" s="50">
        <v>0.55200000000000005</v>
      </c>
      <c r="J369" s="50">
        <v>0.57599999999999996</v>
      </c>
      <c r="K369" s="50">
        <v>0.57999999999999996</v>
      </c>
      <c r="L369" s="50">
        <v>0.57499999999999996</v>
      </c>
      <c r="M369" s="50">
        <v>0.55400000000000005</v>
      </c>
      <c r="N369" s="50">
        <v>0.50800000000000001</v>
      </c>
      <c r="O369" s="50">
        <v>0.53</v>
      </c>
      <c r="P369" s="50">
        <v>0.57099999999999995</v>
      </c>
      <c r="Q369" s="50">
        <v>0.56200000000000006</v>
      </c>
      <c r="R369" s="50">
        <v>0.54100000000000004</v>
      </c>
      <c r="S369" s="50">
        <v>0.56699999999999995</v>
      </c>
      <c r="T369" s="50">
        <v>0.55400000000000005</v>
      </c>
      <c r="U369" s="50">
        <v>0.54200000000000004</v>
      </c>
      <c r="V369" s="50">
        <v>0.56000000000000005</v>
      </c>
      <c r="W369" s="50">
        <v>0.57499999999999996</v>
      </c>
      <c r="X369" s="51">
        <v>0.502</v>
      </c>
    </row>
    <row r="370" spans="1:24" ht="39.6">
      <c r="A370" s="33" t="s">
        <v>58</v>
      </c>
      <c r="B370" s="34" t="s">
        <v>612</v>
      </c>
      <c r="C370" s="34">
        <v>2017</v>
      </c>
      <c r="D370" s="35" t="s">
        <v>615</v>
      </c>
      <c r="E370" s="36">
        <v>2017</v>
      </c>
      <c r="F370" s="37" t="s">
        <v>113</v>
      </c>
      <c r="G370" s="38" t="s">
        <v>141</v>
      </c>
      <c r="H370" s="49">
        <v>0.39900000000000002</v>
      </c>
      <c r="I370" s="50">
        <v>0.44500000000000001</v>
      </c>
      <c r="J370" s="50">
        <v>0.46800000000000003</v>
      </c>
      <c r="K370" s="50">
        <v>0.44700000000000001</v>
      </c>
      <c r="L370" s="50">
        <v>0.44800000000000001</v>
      </c>
      <c r="M370" s="50">
        <v>0.42399999999999999</v>
      </c>
      <c r="N370" s="50">
        <v>0.37</v>
      </c>
      <c r="O370" s="50">
        <v>0.39100000000000001</v>
      </c>
      <c r="P370" s="50">
        <v>0.41</v>
      </c>
      <c r="Q370" s="50">
        <v>0.4</v>
      </c>
      <c r="R370" s="50">
        <v>0.38300000000000001</v>
      </c>
      <c r="S370" s="50">
        <v>0.40600000000000003</v>
      </c>
      <c r="T370" s="50">
        <v>0.40600000000000003</v>
      </c>
      <c r="U370" s="50">
        <v>0.38800000000000001</v>
      </c>
      <c r="V370" s="50">
        <v>0.41</v>
      </c>
      <c r="W370" s="50">
        <v>0.42899999999999999</v>
      </c>
      <c r="X370" s="51">
        <v>0.38300000000000001</v>
      </c>
    </row>
    <row r="371" spans="1:24" ht="39.6">
      <c r="A371" s="33" t="s">
        <v>58</v>
      </c>
      <c r="B371" s="34" t="s">
        <v>612</v>
      </c>
      <c r="C371" s="34">
        <v>2024</v>
      </c>
      <c r="D371" s="35" t="s">
        <v>616</v>
      </c>
      <c r="E371" s="36">
        <v>2024</v>
      </c>
      <c r="F371" s="37" t="s">
        <v>113</v>
      </c>
      <c r="G371" s="38" t="s">
        <v>141</v>
      </c>
      <c r="H371" s="49">
        <v>0.33200000000000002</v>
      </c>
      <c r="I371" s="50">
        <v>0.378</v>
      </c>
      <c r="J371" s="50">
        <v>0.41099999999999998</v>
      </c>
      <c r="K371" s="50">
        <v>0.38300000000000001</v>
      </c>
      <c r="L371" s="50">
        <v>0.372</v>
      </c>
      <c r="M371" s="50">
        <v>0.35</v>
      </c>
      <c r="N371" s="50">
        <v>0.309</v>
      </c>
      <c r="O371" s="50">
        <v>0.32700000000000001</v>
      </c>
      <c r="P371" s="50">
        <v>0.34399999999999997</v>
      </c>
      <c r="Q371" s="50">
        <v>0.33600000000000002</v>
      </c>
      <c r="R371" s="50">
        <v>0.315</v>
      </c>
      <c r="S371" s="50">
        <v>0.33</v>
      </c>
      <c r="T371" s="50">
        <v>0.33300000000000002</v>
      </c>
      <c r="U371" s="50">
        <v>0.314</v>
      </c>
      <c r="V371" s="50">
        <v>0.32900000000000001</v>
      </c>
      <c r="W371" s="50">
        <v>0.33</v>
      </c>
      <c r="X371" s="51">
        <v>0.311</v>
      </c>
    </row>
    <row r="372" spans="1:24" ht="40.9">
      <c r="A372" s="33" t="s">
        <v>58</v>
      </c>
      <c r="B372" s="34" t="s">
        <v>617</v>
      </c>
      <c r="C372" s="34">
        <v>1992</v>
      </c>
      <c r="D372" s="35" t="s">
        <v>618</v>
      </c>
      <c r="E372" s="36">
        <v>1992</v>
      </c>
      <c r="F372" s="37" t="s">
        <v>113</v>
      </c>
      <c r="G372" s="38" t="s">
        <v>141</v>
      </c>
      <c r="H372" s="49">
        <v>4.2999999999999997E-2</v>
      </c>
      <c r="I372" s="50">
        <v>3.4000000000000002E-2</v>
      </c>
      <c r="J372" s="50">
        <v>0.04</v>
      </c>
      <c r="K372" s="50">
        <v>3.4000000000000002E-2</v>
      </c>
      <c r="L372" s="50">
        <v>3.6999999999999998E-2</v>
      </c>
      <c r="M372" s="50">
        <v>5.0999999999999997E-2</v>
      </c>
      <c r="N372" s="50">
        <v>6.2E-2</v>
      </c>
      <c r="O372" s="50">
        <v>4.2000000000000003E-2</v>
      </c>
      <c r="P372" s="50">
        <v>4.4999999999999998E-2</v>
      </c>
      <c r="Q372" s="50">
        <v>4.3999999999999997E-2</v>
      </c>
      <c r="R372" s="50">
        <v>3.9E-2</v>
      </c>
      <c r="S372" s="50">
        <v>3.2000000000000001E-2</v>
      </c>
      <c r="T372" s="50">
        <v>4.2999999999999997E-2</v>
      </c>
      <c r="U372" s="50">
        <v>3.7999999999999999E-2</v>
      </c>
      <c r="V372" s="50">
        <v>3.5000000000000003E-2</v>
      </c>
      <c r="W372" s="50">
        <v>0.03</v>
      </c>
      <c r="X372" s="51">
        <v>4.8000000000000001E-2</v>
      </c>
    </row>
    <row r="373" spans="1:24" ht="40.9">
      <c r="A373" s="33" t="s">
        <v>58</v>
      </c>
      <c r="B373" s="34" t="s">
        <v>617</v>
      </c>
      <c r="C373" s="34">
        <v>2002</v>
      </c>
      <c r="D373" s="35" t="s">
        <v>619</v>
      </c>
      <c r="E373" s="36">
        <v>2002</v>
      </c>
      <c r="F373" s="37" t="s">
        <v>113</v>
      </c>
      <c r="G373" s="38" t="s">
        <v>141</v>
      </c>
      <c r="H373" s="49">
        <v>0.06</v>
      </c>
      <c r="I373" s="50">
        <v>5.3999999999999999E-2</v>
      </c>
      <c r="J373" s="50">
        <v>4.3999999999999997E-2</v>
      </c>
      <c r="K373" s="50">
        <v>4.3999999999999997E-2</v>
      </c>
      <c r="L373" s="50">
        <v>5.6000000000000001E-2</v>
      </c>
      <c r="M373" s="50">
        <v>6.7000000000000004E-2</v>
      </c>
      <c r="N373" s="50">
        <v>8.3000000000000004E-2</v>
      </c>
      <c r="O373" s="50">
        <v>5.8999999999999997E-2</v>
      </c>
      <c r="P373" s="50">
        <v>6.0999999999999999E-2</v>
      </c>
      <c r="Q373" s="50">
        <v>6.0999999999999999E-2</v>
      </c>
      <c r="R373" s="50">
        <v>6.3E-2</v>
      </c>
      <c r="S373" s="50">
        <v>0.05</v>
      </c>
      <c r="T373" s="50">
        <v>6.3E-2</v>
      </c>
      <c r="U373" s="50">
        <v>6.0999999999999999E-2</v>
      </c>
      <c r="V373" s="50">
        <v>5.1999999999999998E-2</v>
      </c>
      <c r="W373" s="50">
        <v>4.9000000000000002E-2</v>
      </c>
      <c r="X373" s="51">
        <v>6.7000000000000004E-2</v>
      </c>
    </row>
    <row r="374" spans="1:24" ht="40.9">
      <c r="A374" s="33" t="s">
        <v>58</v>
      </c>
      <c r="B374" s="34" t="s">
        <v>617</v>
      </c>
      <c r="C374" s="34">
        <v>2017</v>
      </c>
      <c r="D374" s="35" t="s">
        <v>620</v>
      </c>
      <c r="E374" s="36">
        <v>2017</v>
      </c>
      <c r="F374" s="37" t="s">
        <v>113</v>
      </c>
      <c r="G374" s="38" t="s">
        <v>141</v>
      </c>
      <c r="H374" s="49">
        <v>9.1999999999999998E-2</v>
      </c>
      <c r="I374" s="50">
        <v>8.4000000000000005E-2</v>
      </c>
      <c r="J374" s="50">
        <v>5.6000000000000001E-2</v>
      </c>
      <c r="K374" s="50">
        <v>5.5E-2</v>
      </c>
      <c r="L374" s="50">
        <v>7.8E-2</v>
      </c>
      <c r="M374" s="50">
        <v>9.8000000000000004E-2</v>
      </c>
      <c r="N374" s="50">
        <v>0.11899999999999999</v>
      </c>
      <c r="O374" s="50">
        <v>8.3000000000000004E-2</v>
      </c>
      <c r="P374" s="50">
        <v>9.8000000000000004E-2</v>
      </c>
      <c r="Q374" s="50">
        <v>0.10299999999999999</v>
      </c>
      <c r="R374" s="50">
        <v>0.113</v>
      </c>
      <c r="S374" s="50">
        <v>9.2999999999999999E-2</v>
      </c>
      <c r="T374" s="50">
        <v>0.105</v>
      </c>
      <c r="U374" s="50">
        <v>0.105</v>
      </c>
      <c r="V374" s="50">
        <v>0.09</v>
      </c>
      <c r="W374" s="50">
        <v>0.08</v>
      </c>
      <c r="X374" s="51">
        <v>9.6000000000000002E-2</v>
      </c>
    </row>
    <row r="375" spans="1:24" ht="40.9">
      <c r="A375" s="33" t="s">
        <v>58</v>
      </c>
      <c r="B375" s="34" t="s">
        <v>617</v>
      </c>
      <c r="C375" s="34">
        <v>2024</v>
      </c>
      <c r="D375" s="35" t="s">
        <v>621</v>
      </c>
      <c r="E375" s="36">
        <v>2024</v>
      </c>
      <c r="F375" s="37" t="s">
        <v>113</v>
      </c>
      <c r="G375" s="38" t="s">
        <v>141</v>
      </c>
      <c r="H375" s="49">
        <v>0.11600000000000001</v>
      </c>
      <c r="I375" s="50">
        <v>9.7000000000000003E-2</v>
      </c>
      <c r="J375" s="50">
        <v>7.1999999999999995E-2</v>
      </c>
      <c r="K375" s="50">
        <v>7.0000000000000007E-2</v>
      </c>
      <c r="L375" s="50">
        <v>0.104</v>
      </c>
      <c r="M375" s="50">
        <v>0.123</v>
      </c>
      <c r="N375" s="50">
        <v>0.14499999999999999</v>
      </c>
      <c r="O375" s="50">
        <v>0.10199999999999999</v>
      </c>
      <c r="P375" s="50">
        <v>0.128</v>
      </c>
      <c r="Q375" s="50">
        <v>0.13600000000000001</v>
      </c>
      <c r="R375" s="50">
        <v>0.15</v>
      </c>
      <c r="S375" s="50">
        <v>0.124</v>
      </c>
      <c r="T375" s="50">
        <v>0.13600000000000001</v>
      </c>
      <c r="U375" s="50">
        <v>0.13400000000000001</v>
      </c>
      <c r="V375" s="50">
        <v>0.11700000000000001</v>
      </c>
      <c r="W375" s="50">
        <v>0.11799999999999999</v>
      </c>
      <c r="X375" s="51">
        <v>0.125</v>
      </c>
    </row>
    <row r="376" spans="1:24" ht="20.45">
      <c r="A376" s="33" t="s">
        <v>58</v>
      </c>
      <c r="B376" s="34" t="s">
        <v>622</v>
      </c>
      <c r="C376" s="34">
        <v>1992</v>
      </c>
      <c r="D376" s="35" t="s">
        <v>623</v>
      </c>
      <c r="E376" s="36">
        <v>1992</v>
      </c>
      <c r="F376" s="37" t="s">
        <v>113</v>
      </c>
      <c r="G376" s="38" t="s">
        <v>141</v>
      </c>
      <c r="H376" s="49">
        <v>8.3000000000000004E-2</v>
      </c>
      <c r="I376" s="50">
        <v>9.7000000000000003E-2</v>
      </c>
      <c r="J376" s="50">
        <v>0.106</v>
      </c>
      <c r="K376" s="50">
        <v>9.5000000000000001E-2</v>
      </c>
      <c r="L376" s="50">
        <v>0.11600000000000001</v>
      </c>
      <c r="M376" s="50">
        <v>0.105</v>
      </c>
      <c r="N376" s="50">
        <v>0.1</v>
      </c>
      <c r="O376" s="50">
        <v>7.8E-2</v>
      </c>
      <c r="P376" s="50">
        <v>8.5000000000000006E-2</v>
      </c>
      <c r="Q376" s="50">
        <v>8.4000000000000005E-2</v>
      </c>
      <c r="R376" s="50">
        <v>7.5999999999999998E-2</v>
      </c>
      <c r="S376" s="50">
        <v>6.5000000000000002E-2</v>
      </c>
      <c r="T376" s="50">
        <v>8.2000000000000003E-2</v>
      </c>
      <c r="U376" s="50">
        <v>7.8E-2</v>
      </c>
      <c r="V376" s="50">
        <v>7.1999999999999995E-2</v>
      </c>
      <c r="W376" s="50">
        <v>0.11600000000000001</v>
      </c>
      <c r="X376" s="51">
        <v>0.10299999999999999</v>
      </c>
    </row>
    <row r="377" spans="1:24" ht="20.45">
      <c r="A377" s="33" t="s">
        <v>58</v>
      </c>
      <c r="B377" s="34" t="s">
        <v>622</v>
      </c>
      <c r="C377" s="34">
        <v>2002</v>
      </c>
      <c r="D377" s="35" t="s">
        <v>624</v>
      </c>
      <c r="E377" s="36">
        <v>2002</v>
      </c>
      <c r="F377" s="37" t="s">
        <v>113</v>
      </c>
      <c r="G377" s="38" t="s">
        <v>141</v>
      </c>
      <c r="H377" s="49">
        <v>0.114</v>
      </c>
      <c r="I377" s="50">
        <v>0.125</v>
      </c>
      <c r="J377" s="50">
        <v>0.13</v>
      </c>
      <c r="K377" s="50">
        <v>0.11899999999999999</v>
      </c>
      <c r="L377" s="50">
        <v>0.14199999999999999</v>
      </c>
      <c r="M377" s="50">
        <v>0.13300000000000001</v>
      </c>
      <c r="N377" s="50">
        <v>0.126</v>
      </c>
      <c r="O377" s="50">
        <v>0.11</v>
      </c>
      <c r="P377" s="50">
        <v>0.11</v>
      </c>
      <c r="Q377" s="50">
        <v>0.114</v>
      </c>
      <c r="R377" s="50">
        <v>0.11799999999999999</v>
      </c>
      <c r="S377" s="50">
        <v>9.8000000000000004E-2</v>
      </c>
      <c r="T377" s="50">
        <v>0.11899999999999999</v>
      </c>
      <c r="U377" s="50">
        <v>0.122</v>
      </c>
      <c r="V377" s="50">
        <v>0.109</v>
      </c>
      <c r="W377" s="50">
        <v>0.14899999999999999</v>
      </c>
      <c r="X377" s="51">
        <v>0.13300000000000001</v>
      </c>
    </row>
    <row r="378" spans="1:24" ht="20.45">
      <c r="A378" s="33" t="s">
        <v>58</v>
      </c>
      <c r="B378" s="34" t="s">
        <v>622</v>
      </c>
      <c r="C378" s="34">
        <v>2017</v>
      </c>
      <c r="D378" s="35" t="s">
        <v>625</v>
      </c>
      <c r="E378" s="36">
        <v>2017</v>
      </c>
      <c r="F378" s="37" t="s">
        <v>113</v>
      </c>
      <c r="G378" s="38" t="s">
        <v>141</v>
      </c>
      <c r="H378" s="49">
        <v>0.17699999999999999</v>
      </c>
      <c r="I378" s="50">
        <v>0.17899999999999999</v>
      </c>
      <c r="J378" s="50">
        <v>0.187</v>
      </c>
      <c r="K378" s="50">
        <v>0.17899999999999999</v>
      </c>
      <c r="L378" s="50">
        <v>0.18099999999999999</v>
      </c>
      <c r="M378" s="50">
        <v>0.18099999999999999</v>
      </c>
      <c r="N378" s="50">
        <v>0.191</v>
      </c>
      <c r="O378" s="50">
        <v>0.16800000000000001</v>
      </c>
      <c r="P378" s="50">
        <v>0.17299999999999999</v>
      </c>
      <c r="Q378" s="50">
        <v>0.182</v>
      </c>
      <c r="R378" s="50">
        <v>0.186</v>
      </c>
      <c r="S378" s="50">
        <v>0.16900000000000001</v>
      </c>
      <c r="T378" s="50">
        <v>0.186</v>
      </c>
      <c r="U378" s="50">
        <v>0.193</v>
      </c>
      <c r="V378" s="50">
        <v>0.183</v>
      </c>
      <c r="W378" s="50">
        <v>0.218</v>
      </c>
      <c r="X378" s="51">
        <v>0.19400000000000001</v>
      </c>
    </row>
    <row r="379" spans="1:24" ht="20.45">
      <c r="A379" s="33" t="s">
        <v>58</v>
      </c>
      <c r="B379" s="34" t="s">
        <v>622</v>
      </c>
      <c r="C379" s="34">
        <v>2024</v>
      </c>
      <c r="D379" s="35" t="s">
        <v>626</v>
      </c>
      <c r="E379" s="36">
        <v>2024</v>
      </c>
      <c r="F379" s="37" t="s">
        <v>113</v>
      </c>
      <c r="G379" s="38" t="s">
        <v>141</v>
      </c>
      <c r="H379" s="49">
        <v>0.218</v>
      </c>
      <c r="I379" s="50">
        <v>0.21199999999999999</v>
      </c>
      <c r="J379" s="50">
        <v>0.21099999999999999</v>
      </c>
      <c r="K379" s="50">
        <v>0.21</v>
      </c>
      <c r="L379" s="50">
        <v>0.214</v>
      </c>
      <c r="M379" s="50">
        <v>0.215</v>
      </c>
      <c r="N379" s="50">
        <v>0.23</v>
      </c>
      <c r="O379" s="50">
        <v>0.216</v>
      </c>
      <c r="P379" s="50">
        <v>0.20200000000000001</v>
      </c>
      <c r="Q379" s="50">
        <v>0.21299999999999999</v>
      </c>
      <c r="R379" s="50">
        <v>0.223</v>
      </c>
      <c r="S379" s="50">
        <v>0.20899999999999999</v>
      </c>
      <c r="T379" s="50">
        <v>0.22700000000000001</v>
      </c>
      <c r="U379" s="50">
        <v>0.23300000000000001</v>
      </c>
      <c r="V379" s="50">
        <v>0.22700000000000001</v>
      </c>
      <c r="W379" s="50">
        <v>0.26700000000000002</v>
      </c>
      <c r="X379" s="51">
        <v>0.23100000000000001</v>
      </c>
    </row>
    <row r="380" spans="1:24" ht="20.45">
      <c r="A380" s="33" t="s">
        <v>58</v>
      </c>
      <c r="B380" s="34" t="s">
        <v>627</v>
      </c>
      <c r="C380" s="34" t="s">
        <v>976</v>
      </c>
      <c r="D380" s="35" t="s">
        <v>628</v>
      </c>
      <c r="E380" s="36">
        <v>2024</v>
      </c>
      <c r="F380" s="37" t="s">
        <v>113</v>
      </c>
      <c r="G380" s="38" t="s">
        <v>141</v>
      </c>
      <c r="H380" s="49">
        <v>0.74199999999999999</v>
      </c>
      <c r="I380" s="50">
        <v>0.75900000000000001</v>
      </c>
      <c r="J380" s="50">
        <v>0.76500000000000001</v>
      </c>
      <c r="K380" s="50">
        <v>0.746</v>
      </c>
      <c r="L380" s="50">
        <v>0.75700000000000001</v>
      </c>
      <c r="M380" s="50">
        <v>0.76500000000000001</v>
      </c>
      <c r="N380" s="50">
        <v>0.71799999999999997</v>
      </c>
      <c r="O380" s="50">
        <v>0.7</v>
      </c>
      <c r="P380" s="50">
        <v>0.79400000000000004</v>
      </c>
      <c r="Q380" s="50">
        <v>0.81699999999999995</v>
      </c>
      <c r="R380" s="50">
        <v>0.80100000000000005</v>
      </c>
      <c r="S380" s="50">
        <v>0.77800000000000002</v>
      </c>
      <c r="T380" s="50">
        <v>0.78500000000000003</v>
      </c>
      <c r="U380" s="50">
        <v>0.754</v>
      </c>
      <c r="V380" s="50">
        <v>0.79100000000000004</v>
      </c>
      <c r="W380" s="50">
        <v>0.7</v>
      </c>
      <c r="X380" s="51">
        <v>0.75600000000000001</v>
      </c>
    </row>
    <row r="381" spans="1:24" ht="20.45">
      <c r="A381" s="33" t="s">
        <v>58</v>
      </c>
      <c r="B381" s="34" t="s">
        <v>629</v>
      </c>
      <c r="C381" s="34" t="s">
        <v>977</v>
      </c>
      <c r="D381" s="35" t="s">
        <v>630</v>
      </c>
      <c r="E381" s="36">
        <v>2023</v>
      </c>
      <c r="F381" s="37" t="s">
        <v>631</v>
      </c>
      <c r="G381" s="38" t="s">
        <v>632</v>
      </c>
      <c r="H381" s="39"/>
      <c r="I381" s="40">
        <v>44</v>
      </c>
      <c r="J381" s="40">
        <v>62</v>
      </c>
      <c r="K381" s="40">
        <v>63</v>
      </c>
      <c r="L381" s="40">
        <v>54</v>
      </c>
      <c r="M381" s="40">
        <v>54</v>
      </c>
      <c r="N381" s="40">
        <v>69</v>
      </c>
      <c r="O381" s="40">
        <v>86</v>
      </c>
      <c r="P381" s="40">
        <v>54</v>
      </c>
      <c r="Q381" s="40">
        <v>50</v>
      </c>
      <c r="R381" s="40">
        <v>54</v>
      </c>
      <c r="S381" s="40">
        <v>60</v>
      </c>
      <c r="T381" s="40">
        <v>54</v>
      </c>
      <c r="U381" s="40">
        <v>50</v>
      </c>
      <c r="V381" s="40">
        <v>55</v>
      </c>
      <c r="W381" s="40">
        <v>36</v>
      </c>
      <c r="X381" s="41">
        <v>41</v>
      </c>
    </row>
    <row r="382" spans="1:24" ht="20.45">
      <c r="A382" s="33" t="s">
        <v>58</v>
      </c>
      <c r="B382" s="34" t="s">
        <v>629</v>
      </c>
      <c r="C382" s="34" t="s">
        <v>978</v>
      </c>
      <c r="D382" s="35" t="s">
        <v>633</v>
      </c>
      <c r="E382" s="36">
        <v>2023</v>
      </c>
      <c r="F382" s="37" t="s">
        <v>631</v>
      </c>
      <c r="G382" s="38" t="s">
        <v>632</v>
      </c>
      <c r="H382" s="39"/>
      <c r="I382" s="40">
        <v>57</v>
      </c>
      <c r="J382" s="40">
        <v>79</v>
      </c>
      <c r="K382" s="40">
        <v>78</v>
      </c>
      <c r="L382" s="40">
        <v>102</v>
      </c>
      <c r="M382" s="40">
        <v>66</v>
      </c>
      <c r="N382" s="40">
        <v>70</v>
      </c>
      <c r="O382" s="40">
        <v>88</v>
      </c>
      <c r="P382" s="40">
        <v>68</v>
      </c>
      <c r="Q382" s="40">
        <v>56</v>
      </c>
      <c r="R382" s="40">
        <v>55</v>
      </c>
      <c r="S382" s="40">
        <v>68</v>
      </c>
      <c r="T382" s="40">
        <v>66</v>
      </c>
      <c r="U382" s="40">
        <v>52</v>
      </c>
      <c r="V382" s="40">
        <v>58</v>
      </c>
      <c r="W382" s="40">
        <v>54</v>
      </c>
      <c r="X382" s="41">
        <v>45</v>
      </c>
    </row>
    <row r="383" spans="1:24" ht="40.9">
      <c r="A383" s="33" t="s">
        <v>58</v>
      </c>
      <c r="B383" s="34" t="s">
        <v>634</v>
      </c>
      <c r="C383" s="34" t="s">
        <v>979</v>
      </c>
      <c r="D383" s="35" t="s">
        <v>635</v>
      </c>
      <c r="E383" s="36">
        <v>2023</v>
      </c>
      <c r="F383" s="37" t="s">
        <v>352</v>
      </c>
      <c r="G383" s="38" t="s">
        <v>636</v>
      </c>
      <c r="H383" s="39"/>
      <c r="I383" s="50">
        <v>0.11321587860584301</v>
      </c>
      <c r="J383" s="50">
        <v>0.101527355611324</v>
      </c>
      <c r="K383" s="50">
        <v>0.10941510647535301</v>
      </c>
      <c r="L383" s="50">
        <v>8.7925523519516005E-2</v>
      </c>
      <c r="M383" s="50">
        <v>7.83809423446655E-2</v>
      </c>
      <c r="N383" s="50">
        <v>0.105173520743847</v>
      </c>
      <c r="O383" s="50">
        <v>0.12242735922336601</v>
      </c>
      <c r="P383" s="50">
        <v>0.101521588861942</v>
      </c>
      <c r="Q383" s="50">
        <v>0.10864895582199099</v>
      </c>
      <c r="R383" s="50">
        <v>0.113830171525478</v>
      </c>
      <c r="S383" s="50">
        <v>0.107848666608334</v>
      </c>
      <c r="T383" s="50">
        <v>0.10393607616424599</v>
      </c>
      <c r="U383" s="50">
        <v>0.10657308250665699</v>
      </c>
      <c r="V383" s="50">
        <v>8.7533056735992404E-2</v>
      </c>
      <c r="W383" s="50">
        <v>8.4690079092979403E-2</v>
      </c>
      <c r="X383" s="51">
        <v>6.7969597876071902E-2</v>
      </c>
    </row>
    <row r="384" spans="1:24" ht="40.9">
      <c r="A384" s="33" t="s">
        <v>58</v>
      </c>
      <c r="B384" s="34" t="s">
        <v>634</v>
      </c>
      <c r="C384" s="34" t="s">
        <v>980</v>
      </c>
      <c r="D384" s="35" t="s">
        <v>637</v>
      </c>
      <c r="E384" s="36">
        <v>2023</v>
      </c>
      <c r="F384" s="37" t="s">
        <v>352</v>
      </c>
      <c r="G384" s="38" t="s">
        <v>636</v>
      </c>
      <c r="H384" s="39"/>
      <c r="I384" s="50">
        <v>0.74485516548156705</v>
      </c>
      <c r="J384" s="50">
        <v>0.79954403638839699</v>
      </c>
      <c r="K384" s="50">
        <v>0.78581410646438599</v>
      </c>
      <c r="L384" s="50">
        <v>0.83074849843978904</v>
      </c>
      <c r="M384" s="50">
        <v>0.85686886310577404</v>
      </c>
      <c r="N384" s="50">
        <v>0.78392744064331099</v>
      </c>
      <c r="O384" s="50">
        <v>0.763416588306427</v>
      </c>
      <c r="P384" s="50">
        <v>0.81654930114746105</v>
      </c>
      <c r="Q384" s="50">
        <v>0.79203760623931896</v>
      </c>
      <c r="R384" s="50">
        <v>0.78777939081192005</v>
      </c>
      <c r="S384" s="50">
        <v>0.79878807067871105</v>
      </c>
      <c r="T384" s="50">
        <v>0.78202378749847401</v>
      </c>
      <c r="U384" s="50">
        <v>0.78772753477096602</v>
      </c>
      <c r="V384" s="50">
        <v>0.79988712072372403</v>
      </c>
      <c r="W384" s="50">
        <v>0.84438681602478005</v>
      </c>
      <c r="X384" s="51">
        <v>0.86207133531570401</v>
      </c>
    </row>
    <row r="385" spans="1:24" ht="20.45">
      <c r="A385" s="33" t="s">
        <v>58</v>
      </c>
      <c r="B385" s="34" t="s">
        <v>634</v>
      </c>
      <c r="C385" s="34" t="s">
        <v>981</v>
      </c>
      <c r="D385" s="35" t="s">
        <v>638</v>
      </c>
      <c r="E385" s="36">
        <v>2023</v>
      </c>
      <c r="F385" s="37" t="s">
        <v>352</v>
      </c>
      <c r="G385" s="38" t="s">
        <v>636</v>
      </c>
      <c r="H385" s="39"/>
      <c r="I385" s="50">
        <v>0.14192895591259</v>
      </c>
      <c r="J385" s="50">
        <v>9.8928593099117307E-2</v>
      </c>
      <c r="K385" s="50">
        <v>0.104770764708519</v>
      </c>
      <c r="L385" s="50">
        <v>8.1325992941856398E-2</v>
      </c>
      <c r="M385" s="50">
        <v>6.4750209450721699E-2</v>
      </c>
      <c r="N385" s="50">
        <v>0.10994177311658899</v>
      </c>
      <c r="O385" s="50">
        <v>0.112075686454773</v>
      </c>
      <c r="P385" s="50">
        <v>7.8707329928874997E-2</v>
      </c>
      <c r="Q385" s="50">
        <v>9.5776632428169306E-2</v>
      </c>
      <c r="R385" s="50">
        <v>9.7138158977031694E-2</v>
      </c>
      <c r="S385" s="50">
        <v>9.3363240361213698E-2</v>
      </c>
      <c r="T385" s="50">
        <v>0.11304632574319801</v>
      </c>
      <c r="U385" s="50">
        <v>0.105699352920055</v>
      </c>
      <c r="V385" s="50">
        <v>0.105866245925426</v>
      </c>
      <c r="W385" s="50">
        <v>7.0923119783401503E-2</v>
      </c>
      <c r="X385" s="51">
        <v>6.9959066808223697E-2</v>
      </c>
    </row>
    <row r="386" spans="1:24" ht="59.45">
      <c r="A386" s="33" t="s">
        <v>60</v>
      </c>
      <c r="B386" s="34" t="s">
        <v>639</v>
      </c>
      <c r="C386" s="34" t="s">
        <v>982</v>
      </c>
      <c r="D386" s="35" t="s">
        <v>640</v>
      </c>
      <c r="E386" s="36">
        <v>2024</v>
      </c>
      <c r="F386" s="37" t="s">
        <v>113</v>
      </c>
      <c r="G386" s="38" t="s">
        <v>641</v>
      </c>
      <c r="H386" s="39"/>
      <c r="I386" s="50">
        <v>0.25</v>
      </c>
      <c r="J386" s="50">
        <v>0.57099999999999995</v>
      </c>
      <c r="K386" s="50">
        <v>0.44400000000000001</v>
      </c>
      <c r="L386" s="50">
        <v>0.44400000000000001</v>
      </c>
      <c r="M386" s="50">
        <v>0.4</v>
      </c>
      <c r="N386" s="50">
        <v>0.55300000000000005</v>
      </c>
      <c r="O386" s="50">
        <v>0.51900000000000002</v>
      </c>
      <c r="P386" s="50">
        <v>0.39400000000000002</v>
      </c>
      <c r="Q386" s="50">
        <v>0.33300000000000002</v>
      </c>
      <c r="R386" s="50">
        <v>0.14299999999999999</v>
      </c>
      <c r="S386" s="50">
        <v>0.33300000000000002</v>
      </c>
      <c r="T386" s="50">
        <v>0.40600000000000003</v>
      </c>
      <c r="U386" s="50">
        <v>0.33300000000000002</v>
      </c>
      <c r="V386" s="50">
        <v>0.56699999999999995</v>
      </c>
      <c r="W386" s="50">
        <v>0.4</v>
      </c>
      <c r="X386" s="51">
        <v>0.63600000000000001</v>
      </c>
    </row>
    <row r="387" spans="1:24" ht="59.45">
      <c r="A387" s="33" t="s">
        <v>60</v>
      </c>
      <c r="B387" s="34" t="s">
        <v>639</v>
      </c>
      <c r="C387" s="34" t="s">
        <v>983</v>
      </c>
      <c r="D387" s="35" t="s">
        <v>642</v>
      </c>
      <c r="E387" s="36">
        <v>2024</v>
      </c>
      <c r="F387" s="37" t="s">
        <v>113</v>
      </c>
      <c r="G387" s="38" t="s">
        <v>164</v>
      </c>
      <c r="H387" s="39"/>
      <c r="I387" s="50">
        <v>0.79612099434431205</v>
      </c>
      <c r="J387" s="50">
        <v>0.82381467571049705</v>
      </c>
      <c r="K387" s="50">
        <v>0.842140410951145</v>
      </c>
      <c r="L387" s="50">
        <v>0.71112189235873902</v>
      </c>
      <c r="M387" s="50">
        <v>0.76438882478412395</v>
      </c>
      <c r="N387" s="50">
        <v>0.74005172106246897</v>
      </c>
      <c r="O387" s="50">
        <v>0.75940350465885798</v>
      </c>
      <c r="P387" s="50">
        <v>0.73843484143689497</v>
      </c>
      <c r="Q387" s="50">
        <v>0.70447183898580201</v>
      </c>
      <c r="R387" s="50">
        <v>0.67994330994826302</v>
      </c>
      <c r="S387" s="50">
        <v>0.737891504952916</v>
      </c>
      <c r="T387" s="50">
        <v>0.74299953793139095</v>
      </c>
      <c r="U387" s="50">
        <v>0.750086668461174</v>
      </c>
      <c r="V387" s="50">
        <v>0.75180956477623695</v>
      </c>
      <c r="W387" s="50">
        <v>0.62044800086712903</v>
      </c>
      <c r="X387" s="51">
        <v>0.72106666892709703</v>
      </c>
    </row>
    <row r="388" spans="1:24" ht="59.45">
      <c r="A388" s="33" t="s">
        <v>60</v>
      </c>
      <c r="B388" s="34" t="s">
        <v>643</v>
      </c>
      <c r="C388" s="34" t="s">
        <v>984</v>
      </c>
      <c r="D388" s="35" t="s">
        <v>644</v>
      </c>
      <c r="E388" s="36">
        <v>2024</v>
      </c>
      <c r="F388" s="37" t="s">
        <v>645</v>
      </c>
      <c r="G388" s="38" t="s">
        <v>164</v>
      </c>
      <c r="H388" s="77">
        <v>7.5663282422638503</v>
      </c>
      <c r="I388" s="63">
        <v>7.88527310012201</v>
      </c>
      <c r="J388" s="63">
        <v>6.7034495470169899</v>
      </c>
      <c r="K388" s="63">
        <v>6.8887262330091099</v>
      </c>
      <c r="L388" s="63">
        <v>5.9911183302537196</v>
      </c>
      <c r="M388" s="63">
        <v>7.8529390639025598</v>
      </c>
      <c r="N388" s="63">
        <v>8.9972101578144095</v>
      </c>
      <c r="O388" s="63">
        <v>7.6850300476028304</v>
      </c>
      <c r="P388" s="63">
        <v>6.5840796731235196</v>
      </c>
      <c r="Q388" s="63">
        <v>5.5909703360633696</v>
      </c>
      <c r="R388" s="63">
        <v>10.219163262017</v>
      </c>
      <c r="S388" s="63">
        <v>8.1805777499853303</v>
      </c>
      <c r="T388" s="63">
        <v>5.8600545538320796</v>
      </c>
      <c r="U388" s="63">
        <v>7.5966626008012001</v>
      </c>
      <c r="V388" s="63">
        <v>5.80308793442412</v>
      </c>
      <c r="W388" s="63">
        <v>6.8070683092245101</v>
      </c>
      <c r="X388" s="64">
        <v>6.9635601956424997</v>
      </c>
    </row>
    <row r="389" spans="1:24" ht="59.45">
      <c r="A389" s="33" t="s">
        <v>60</v>
      </c>
      <c r="B389" s="34" t="s">
        <v>643</v>
      </c>
      <c r="C389" s="34" t="s">
        <v>985</v>
      </c>
      <c r="D389" s="35" t="s">
        <v>646</v>
      </c>
      <c r="E389" s="36">
        <v>2024</v>
      </c>
      <c r="F389" s="37" t="s">
        <v>113</v>
      </c>
      <c r="G389" s="38" t="s">
        <v>164</v>
      </c>
      <c r="H389" s="49">
        <v>0.77700000000000002</v>
      </c>
      <c r="I389" s="50">
        <v>0.76400000000000001</v>
      </c>
      <c r="J389" s="50">
        <v>0.78500000000000003</v>
      </c>
      <c r="K389" s="50">
        <v>0.81299999999999994</v>
      </c>
      <c r="L389" s="50">
        <v>0.76200000000000001</v>
      </c>
      <c r="M389" s="50">
        <v>0.73499999999999999</v>
      </c>
      <c r="N389" s="50">
        <v>0.79100000000000004</v>
      </c>
      <c r="O389" s="50">
        <v>0.78300000000000003</v>
      </c>
      <c r="P389" s="50">
        <v>0.73499999999999999</v>
      </c>
      <c r="Q389" s="50">
        <v>0.71499999999999997</v>
      </c>
      <c r="R389" s="50">
        <v>0.746</v>
      </c>
      <c r="S389" s="50">
        <v>0.78800000000000003</v>
      </c>
      <c r="T389" s="50">
        <v>0.80800000000000005</v>
      </c>
      <c r="U389" s="50">
        <v>0.76</v>
      </c>
      <c r="V389" s="50">
        <v>0.78500000000000003</v>
      </c>
      <c r="W389" s="50">
        <v>0.745</v>
      </c>
      <c r="X389" s="51">
        <v>0.73</v>
      </c>
    </row>
    <row r="390" spans="1:24" ht="59.45">
      <c r="A390" s="33" t="s">
        <v>60</v>
      </c>
      <c r="B390" s="34" t="s">
        <v>647</v>
      </c>
      <c r="C390" s="34" t="s">
        <v>986</v>
      </c>
      <c r="D390" s="35" t="s">
        <v>648</v>
      </c>
      <c r="E390" s="36">
        <v>2024</v>
      </c>
      <c r="F390" s="37" t="s">
        <v>352</v>
      </c>
      <c r="G390" s="38" t="s">
        <v>649</v>
      </c>
      <c r="H390" s="49">
        <v>0.36625000000000002</v>
      </c>
      <c r="I390" s="50">
        <v>0.38</v>
      </c>
      <c r="J390" s="50">
        <v>0.35</v>
      </c>
      <c r="K390" s="50">
        <v>0.38</v>
      </c>
      <c r="L390" s="50">
        <v>0.37</v>
      </c>
      <c r="M390" s="50">
        <v>0.38</v>
      </c>
      <c r="N390" s="50">
        <v>0.38</v>
      </c>
      <c r="O390" s="50">
        <v>0.35</v>
      </c>
      <c r="P390" s="50">
        <v>0.38</v>
      </c>
      <c r="Q390" s="50">
        <v>0.36</v>
      </c>
      <c r="R390" s="50">
        <v>0.38</v>
      </c>
      <c r="S390" s="50">
        <v>0.35</v>
      </c>
      <c r="T390" s="50">
        <v>0.36</v>
      </c>
      <c r="U390" s="50">
        <v>0.28999999999999998</v>
      </c>
      <c r="V390" s="50">
        <v>0.37</v>
      </c>
      <c r="W390" s="50">
        <v>0.37</v>
      </c>
      <c r="X390" s="51">
        <v>0.41</v>
      </c>
    </row>
    <row r="391" spans="1:24" ht="59.45">
      <c r="A391" s="33" t="s">
        <v>60</v>
      </c>
      <c r="B391" s="34" t="s">
        <v>647</v>
      </c>
      <c r="C391" s="34" t="s">
        <v>987</v>
      </c>
      <c r="D391" s="35" t="s">
        <v>650</v>
      </c>
      <c r="E391" s="36">
        <v>2024</v>
      </c>
      <c r="F391" s="37" t="s">
        <v>352</v>
      </c>
      <c r="G391" s="38" t="s">
        <v>649</v>
      </c>
      <c r="H391" s="49">
        <v>0.19562499999999999</v>
      </c>
      <c r="I391" s="50">
        <v>0.28999999999999998</v>
      </c>
      <c r="J391" s="50">
        <v>0.17</v>
      </c>
      <c r="K391" s="50">
        <v>0.28999999999999998</v>
      </c>
      <c r="L391" s="50">
        <v>0.22</v>
      </c>
      <c r="M391" s="50">
        <v>0.21</v>
      </c>
      <c r="N391" s="50">
        <v>0.16</v>
      </c>
      <c r="O391" s="50">
        <v>0.14000000000000001</v>
      </c>
      <c r="P391" s="50">
        <v>0.17</v>
      </c>
      <c r="Q391" s="50">
        <v>0.23</v>
      </c>
      <c r="R391" s="50">
        <v>0.19</v>
      </c>
      <c r="S391" s="50">
        <v>0.2</v>
      </c>
      <c r="T391" s="50">
        <v>0.14000000000000001</v>
      </c>
      <c r="U391" s="50">
        <v>0.17</v>
      </c>
      <c r="V391" s="50">
        <v>0.15</v>
      </c>
      <c r="W391" s="50">
        <v>0.22</v>
      </c>
      <c r="X391" s="51">
        <v>0.18</v>
      </c>
    </row>
    <row r="392" spans="1:24" ht="59.45">
      <c r="A392" s="33" t="s">
        <v>60</v>
      </c>
      <c r="B392" s="34" t="s">
        <v>651</v>
      </c>
      <c r="C392" s="34" t="s">
        <v>988</v>
      </c>
      <c r="D392" s="35" t="s">
        <v>652</v>
      </c>
      <c r="E392" s="36">
        <v>2024</v>
      </c>
      <c r="F392" s="37" t="s">
        <v>352</v>
      </c>
      <c r="G392" s="38" t="s">
        <v>649</v>
      </c>
      <c r="H392" s="49">
        <v>0.218</v>
      </c>
      <c r="I392" s="50">
        <v>0.27</v>
      </c>
      <c r="J392" s="50">
        <v>0.21</v>
      </c>
      <c r="K392" s="50">
        <v>0.26</v>
      </c>
      <c r="L392" s="50">
        <v>0.26</v>
      </c>
      <c r="M392" s="50">
        <v>0.22</v>
      </c>
      <c r="N392" s="50">
        <v>0.2</v>
      </c>
      <c r="O392" s="50"/>
      <c r="P392" s="50">
        <v>0.21</v>
      </c>
      <c r="Q392" s="50">
        <v>0.21</v>
      </c>
      <c r="R392" s="50">
        <v>0.21</v>
      </c>
      <c r="S392" s="50">
        <v>0.23</v>
      </c>
      <c r="T392" s="50">
        <v>0.19</v>
      </c>
      <c r="U392" s="50">
        <v>0.2</v>
      </c>
      <c r="V392" s="50">
        <v>0.17</v>
      </c>
      <c r="W392" s="50">
        <v>0.25</v>
      </c>
      <c r="X392" s="51">
        <v>0.18</v>
      </c>
    </row>
    <row r="393" spans="1:24" ht="59.45">
      <c r="A393" s="33" t="s">
        <v>60</v>
      </c>
      <c r="B393" s="34" t="s">
        <v>651</v>
      </c>
      <c r="C393" s="34" t="s">
        <v>989</v>
      </c>
      <c r="D393" s="35" t="s">
        <v>653</v>
      </c>
      <c r="E393" s="36">
        <v>2024</v>
      </c>
      <c r="F393" s="37" t="s">
        <v>352</v>
      </c>
      <c r="G393" s="38" t="s">
        <v>649</v>
      </c>
      <c r="H393" s="49">
        <v>0.78200000000000003</v>
      </c>
      <c r="I393" s="50">
        <v>0.73</v>
      </c>
      <c r="J393" s="50">
        <v>0.79</v>
      </c>
      <c r="K393" s="50">
        <v>0.74</v>
      </c>
      <c r="L393" s="50">
        <v>0.74</v>
      </c>
      <c r="M393" s="50">
        <v>0.78</v>
      </c>
      <c r="N393" s="50">
        <v>0.8</v>
      </c>
      <c r="O393" s="50"/>
      <c r="P393" s="50">
        <v>0.79</v>
      </c>
      <c r="Q393" s="50">
        <v>0.79</v>
      </c>
      <c r="R393" s="50">
        <v>0.79</v>
      </c>
      <c r="S393" s="50">
        <v>0.77</v>
      </c>
      <c r="T393" s="50">
        <v>0.81</v>
      </c>
      <c r="U393" s="50">
        <v>0.8</v>
      </c>
      <c r="V393" s="50">
        <v>0.83</v>
      </c>
      <c r="W393" s="50">
        <v>0.75</v>
      </c>
      <c r="X393" s="51">
        <v>0.82</v>
      </c>
    </row>
    <row r="394" spans="1:24" ht="59.45">
      <c r="A394" s="33" t="s">
        <v>60</v>
      </c>
      <c r="B394" s="34" t="s">
        <v>654</v>
      </c>
      <c r="C394" s="34" t="s">
        <v>990</v>
      </c>
      <c r="D394" s="35" t="s">
        <v>655</v>
      </c>
      <c r="E394" s="36">
        <v>2024</v>
      </c>
      <c r="F394" s="37" t="s">
        <v>352</v>
      </c>
      <c r="G394" s="38" t="s">
        <v>649</v>
      </c>
      <c r="H394" s="49">
        <v>0.15266666666666701</v>
      </c>
      <c r="I394" s="50">
        <v>0.24</v>
      </c>
      <c r="J394" s="50">
        <v>0.13</v>
      </c>
      <c r="K394" s="50">
        <v>0.18</v>
      </c>
      <c r="L394" s="50">
        <v>0.11</v>
      </c>
      <c r="M394" s="50">
        <v>0.08</v>
      </c>
      <c r="N394" s="50">
        <v>0.2</v>
      </c>
      <c r="O394" s="50"/>
      <c r="P394" s="50">
        <v>0.15</v>
      </c>
      <c r="Q394" s="50">
        <v>0.09</v>
      </c>
      <c r="R394" s="50">
        <v>0.06</v>
      </c>
      <c r="S394" s="50">
        <v>0.44</v>
      </c>
      <c r="T394" s="50">
        <v>0.1</v>
      </c>
      <c r="U394" s="50">
        <v>0.17</v>
      </c>
      <c r="V394" s="50">
        <v>7.0000000000000007E-2</v>
      </c>
      <c r="W394" s="50">
        <v>0.15</v>
      </c>
      <c r="X394" s="51">
        <v>0.12</v>
      </c>
    </row>
    <row r="395" spans="1:24" ht="59.45">
      <c r="A395" s="33" t="s">
        <v>60</v>
      </c>
      <c r="B395" s="34" t="s">
        <v>654</v>
      </c>
      <c r="C395" s="34" t="s">
        <v>991</v>
      </c>
      <c r="D395" s="35" t="s">
        <v>656</v>
      </c>
      <c r="E395" s="36">
        <v>2024</v>
      </c>
      <c r="F395" s="37" t="s">
        <v>352</v>
      </c>
      <c r="G395" s="38" t="s">
        <v>649</v>
      </c>
      <c r="H395" s="49">
        <v>0.25333333333333302</v>
      </c>
      <c r="I395" s="50">
        <v>0.21</v>
      </c>
      <c r="J395" s="50">
        <v>0.34</v>
      </c>
      <c r="K395" s="50">
        <v>0.27</v>
      </c>
      <c r="L395" s="50">
        <v>0.24</v>
      </c>
      <c r="M395" s="50">
        <v>0.27</v>
      </c>
      <c r="N395" s="50">
        <v>0.23</v>
      </c>
      <c r="O395" s="50"/>
      <c r="P395" s="50">
        <v>0.21</v>
      </c>
      <c r="Q395" s="50">
        <v>0.25</v>
      </c>
      <c r="R395" s="50">
        <v>0.18</v>
      </c>
      <c r="S395" s="50">
        <v>0.19</v>
      </c>
      <c r="T395" s="50">
        <v>0.23</v>
      </c>
      <c r="U395" s="50">
        <v>0.19</v>
      </c>
      <c r="V395" s="50">
        <v>0.33</v>
      </c>
      <c r="W395" s="50">
        <v>0.43</v>
      </c>
      <c r="X395" s="51">
        <v>0.23</v>
      </c>
    </row>
    <row r="396" spans="1:24" ht="59.45">
      <c r="A396" s="33" t="s">
        <v>60</v>
      </c>
      <c r="B396" s="34" t="s">
        <v>654</v>
      </c>
      <c r="C396" s="34" t="s">
        <v>992</v>
      </c>
      <c r="D396" s="35" t="s">
        <v>657</v>
      </c>
      <c r="E396" s="36">
        <v>2024</v>
      </c>
      <c r="F396" s="37" t="s">
        <v>352</v>
      </c>
      <c r="G396" s="38" t="s">
        <v>649</v>
      </c>
      <c r="H396" s="49">
        <v>0.59533333333333305</v>
      </c>
      <c r="I396" s="50">
        <v>0.56000000000000005</v>
      </c>
      <c r="J396" s="50">
        <v>0.53</v>
      </c>
      <c r="K396" s="50">
        <v>0.55000000000000004</v>
      </c>
      <c r="L396" s="50">
        <v>0.65</v>
      </c>
      <c r="M396" s="50">
        <v>0.65</v>
      </c>
      <c r="N396" s="50">
        <v>0.56999999999999995</v>
      </c>
      <c r="O396" s="50"/>
      <c r="P396" s="50">
        <v>0.63</v>
      </c>
      <c r="Q396" s="50">
        <v>0.66</v>
      </c>
      <c r="R396" s="50">
        <v>0.76</v>
      </c>
      <c r="S396" s="50">
        <v>0.37</v>
      </c>
      <c r="T396" s="50">
        <v>0.68</v>
      </c>
      <c r="U396" s="50">
        <v>0.64</v>
      </c>
      <c r="V396" s="50">
        <v>0.6</v>
      </c>
      <c r="W396" s="50">
        <v>0.43</v>
      </c>
      <c r="X396" s="51">
        <v>0.65</v>
      </c>
    </row>
    <row r="397" spans="1:24" ht="59.45">
      <c r="A397" s="33" t="s">
        <v>60</v>
      </c>
      <c r="B397" s="34" t="s">
        <v>658</v>
      </c>
      <c r="C397" s="34" t="s">
        <v>993</v>
      </c>
      <c r="D397" s="35" t="s">
        <v>659</v>
      </c>
      <c r="E397" s="36">
        <v>2024</v>
      </c>
      <c r="F397" s="37" t="s">
        <v>346</v>
      </c>
      <c r="G397" s="38" t="s">
        <v>649</v>
      </c>
      <c r="H397" s="39"/>
      <c r="I397" s="50">
        <v>0.73</v>
      </c>
      <c r="J397" s="50">
        <v>0.73</v>
      </c>
      <c r="K397" s="50">
        <v>0.75</v>
      </c>
      <c r="L397" s="50">
        <v>0.74</v>
      </c>
      <c r="M397" s="50">
        <v>0.76</v>
      </c>
      <c r="N397" s="50">
        <v>0.76</v>
      </c>
      <c r="O397" s="50">
        <v>0.73</v>
      </c>
      <c r="P397" s="50">
        <v>0.72</v>
      </c>
      <c r="Q397" s="50">
        <v>0.75</v>
      </c>
      <c r="R397" s="50">
        <v>0.76</v>
      </c>
      <c r="S397" s="50">
        <v>0.76</v>
      </c>
      <c r="T397" s="50">
        <v>0.74</v>
      </c>
      <c r="U397" s="50">
        <v>0.73</v>
      </c>
      <c r="V397" s="50">
        <v>0.7</v>
      </c>
      <c r="W397" s="50">
        <v>0.7</v>
      </c>
      <c r="X397" s="51">
        <v>0.74</v>
      </c>
    </row>
    <row r="398" spans="1:24" ht="59.45">
      <c r="A398" s="33" t="s">
        <v>60</v>
      </c>
      <c r="B398" s="34" t="s">
        <v>658</v>
      </c>
      <c r="C398" s="34" t="s">
        <v>994</v>
      </c>
      <c r="D398" s="35" t="s">
        <v>660</v>
      </c>
      <c r="E398" s="36">
        <v>2024</v>
      </c>
      <c r="F398" s="37" t="s">
        <v>346</v>
      </c>
      <c r="G398" s="38" t="s">
        <v>649</v>
      </c>
      <c r="H398" s="39"/>
      <c r="I398" s="50">
        <v>0.27</v>
      </c>
      <c r="J398" s="50">
        <v>0.27</v>
      </c>
      <c r="K398" s="50">
        <v>0.25</v>
      </c>
      <c r="L398" s="50">
        <v>0.26</v>
      </c>
      <c r="M398" s="50">
        <v>0.24</v>
      </c>
      <c r="N398" s="50">
        <v>0.24</v>
      </c>
      <c r="O398" s="50">
        <v>0.27</v>
      </c>
      <c r="P398" s="50">
        <v>0.28000000000000003</v>
      </c>
      <c r="Q398" s="50">
        <v>0.25</v>
      </c>
      <c r="R398" s="50">
        <v>0.24</v>
      </c>
      <c r="S398" s="50">
        <v>0.24</v>
      </c>
      <c r="T398" s="50">
        <v>0.26</v>
      </c>
      <c r="U398" s="50">
        <v>0.27</v>
      </c>
      <c r="V398" s="50">
        <v>0.3</v>
      </c>
      <c r="W398" s="50">
        <v>0.3</v>
      </c>
      <c r="X398" s="51">
        <v>0.26</v>
      </c>
    </row>
    <row r="399" spans="1:24" ht="59.45">
      <c r="A399" s="33" t="s">
        <v>60</v>
      </c>
      <c r="B399" s="34" t="s">
        <v>661</v>
      </c>
      <c r="C399" s="34" t="s">
        <v>995</v>
      </c>
      <c r="D399" s="35" t="s">
        <v>662</v>
      </c>
      <c r="E399" s="36">
        <v>2024</v>
      </c>
      <c r="F399" s="37" t="s">
        <v>134</v>
      </c>
      <c r="G399" s="38" t="s">
        <v>649</v>
      </c>
      <c r="H399" s="39">
        <v>7.71875</v>
      </c>
      <c r="I399" s="40">
        <v>7.9</v>
      </c>
      <c r="J399" s="40">
        <v>7.6</v>
      </c>
      <c r="K399" s="40">
        <v>7.8</v>
      </c>
      <c r="L399" s="40">
        <v>8.1999999999999993</v>
      </c>
      <c r="M399" s="40">
        <v>7.2</v>
      </c>
      <c r="N399" s="40">
        <v>7.7</v>
      </c>
      <c r="O399" s="40">
        <v>7.7</v>
      </c>
      <c r="P399" s="40">
        <v>7.6</v>
      </c>
      <c r="Q399" s="40">
        <v>7.3</v>
      </c>
      <c r="R399" s="40">
        <v>7.4</v>
      </c>
      <c r="S399" s="40">
        <v>7.8</v>
      </c>
      <c r="T399" s="40">
        <v>7.6</v>
      </c>
      <c r="U399" s="40">
        <v>7.9</v>
      </c>
      <c r="V399" s="40">
        <v>8.8000000000000007</v>
      </c>
      <c r="W399" s="40">
        <v>7.3</v>
      </c>
      <c r="X399" s="41">
        <v>7.7</v>
      </c>
    </row>
    <row r="400" spans="1:24" ht="59.45">
      <c r="A400" s="33" t="s">
        <v>60</v>
      </c>
      <c r="B400" s="34" t="s">
        <v>661</v>
      </c>
      <c r="C400" s="34" t="s">
        <v>993</v>
      </c>
      <c r="D400" s="35" t="s">
        <v>663</v>
      </c>
      <c r="E400" s="36">
        <v>2024</v>
      </c>
      <c r="F400" s="37" t="s">
        <v>664</v>
      </c>
      <c r="G400" s="38" t="s">
        <v>649</v>
      </c>
      <c r="H400" s="49">
        <v>0.58062499999999995</v>
      </c>
      <c r="I400" s="50">
        <v>0.57999999999999996</v>
      </c>
      <c r="J400" s="50">
        <v>0.56000000000000005</v>
      </c>
      <c r="K400" s="50">
        <v>0.53</v>
      </c>
      <c r="L400" s="50">
        <v>0.52</v>
      </c>
      <c r="M400" s="50">
        <v>0.63</v>
      </c>
      <c r="N400" s="50">
        <v>0.64</v>
      </c>
      <c r="O400" s="50">
        <v>0.63</v>
      </c>
      <c r="P400" s="50">
        <v>0.64</v>
      </c>
      <c r="Q400" s="50">
        <v>0.59</v>
      </c>
      <c r="R400" s="50">
        <v>0.55000000000000004</v>
      </c>
      <c r="S400" s="50">
        <v>0.59</v>
      </c>
      <c r="T400" s="50">
        <v>0.57999999999999996</v>
      </c>
      <c r="U400" s="50">
        <v>0.57999999999999996</v>
      </c>
      <c r="V400" s="50">
        <v>0.5</v>
      </c>
      <c r="W400" s="50">
        <v>0.59</v>
      </c>
      <c r="X400" s="51">
        <v>0.57999999999999996</v>
      </c>
    </row>
    <row r="401" spans="1:24" ht="59.45">
      <c r="A401" s="33" t="s">
        <v>60</v>
      </c>
      <c r="B401" s="34" t="s">
        <v>661</v>
      </c>
      <c r="C401" s="34" t="s">
        <v>994</v>
      </c>
      <c r="D401" s="35" t="s">
        <v>665</v>
      </c>
      <c r="E401" s="36">
        <v>2024</v>
      </c>
      <c r="F401" s="37" t="s">
        <v>664</v>
      </c>
      <c r="G401" s="38" t="s">
        <v>649</v>
      </c>
      <c r="H401" s="39"/>
      <c r="I401" s="50">
        <v>0.42</v>
      </c>
      <c r="J401" s="50">
        <v>0.44</v>
      </c>
      <c r="K401" s="50">
        <v>0.47</v>
      </c>
      <c r="L401" s="50">
        <v>0.48</v>
      </c>
      <c r="M401" s="50">
        <v>0.37</v>
      </c>
      <c r="N401" s="50">
        <v>0.36</v>
      </c>
      <c r="O401" s="50">
        <v>0.37</v>
      </c>
      <c r="P401" s="50">
        <v>0.36</v>
      </c>
      <c r="Q401" s="50">
        <v>0.41</v>
      </c>
      <c r="R401" s="50">
        <v>0.45</v>
      </c>
      <c r="S401" s="50">
        <v>0.41</v>
      </c>
      <c r="T401" s="50">
        <v>0.42</v>
      </c>
      <c r="U401" s="50">
        <v>0.42</v>
      </c>
      <c r="V401" s="50">
        <v>0.5</v>
      </c>
      <c r="W401" s="50">
        <v>0.41</v>
      </c>
      <c r="X401" s="51">
        <v>0.42</v>
      </c>
    </row>
    <row r="402" spans="1:24" ht="20.45">
      <c r="A402" s="33" t="s">
        <v>62</v>
      </c>
      <c r="B402" s="34" t="s">
        <v>666</v>
      </c>
      <c r="C402" s="34" t="s">
        <v>996</v>
      </c>
      <c r="D402" s="35" t="s">
        <v>667</v>
      </c>
      <c r="E402" s="36">
        <v>2024</v>
      </c>
      <c r="F402" s="37" t="s">
        <v>62</v>
      </c>
      <c r="G402" s="38" t="s">
        <v>164</v>
      </c>
      <c r="H402" s="42">
        <v>6592807</v>
      </c>
      <c r="I402" s="43">
        <v>91634</v>
      </c>
      <c r="J402" s="43">
        <v>165070</v>
      </c>
      <c r="K402" s="43">
        <v>181867</v>
      </c>
      <c r="L402" s="43">
        <v>107233</v>
      </c>
      <c r="M402" s="43">
        <v>286933</v>
      </c>
      <c r="N402" s="43">
        <v>699402</v>
      </c>
      <c r="O402" s="43">
        <v>2442537</v>
      </c>
      <c r="P402" s="43">
        <v>393618</v>
      </c>
      <c r="Q402" s="43">
        <v>540730</v>
      </c>
      <c r="R402" s="43">
        <v>192018</v>
      </c>
      <c r="S402" s="43">
        <v>544028</v>
      </c>
      <c r="T402" s="43">
        <v>318677</v>
      </c>
      <c r="U402" s="43">
        <v>147059</v>
      </c>
      <c r="V402" s="43">
        <v>332052</v>
      </c>
      <c r="W402" s="43">
        <v>57963</v>
      </c>
      <c r="X402" s="44">
        <v>91986</v>
      </c>
    </row>
    <row r="403" spans="1:24" ht="20.45">
      <c r="A403" s="33" t="s">
        <v>62</v>
      </c>
      <c r="B403" s="34" t="s">
        <v>666</v>
      </c>
      <c r="C403" s="34" t="s">
        <v>997</v>
      </c>
      <c r="D403" s="35" t="s">
        <v>668</v>
      </c>
      <c r="E403" s="36">
        <v>2024</v>
      </c>
      <c r="F403" s="37" t="s">
        <v>62</v>
      </c>
      <c r="G403" s="38" t="s">
        <v>164</v>
      </c>
      <c r="H403" s="42">
        <v>4739452</v>
      </c>
      <c r="I403" s="43">
        <v>48886</v>
      </c>
      <c r="J403" s="43">
        <v>89836</v>
      </c>
      <c r="K403" s="43">
        <v>128769</v>
      </c>
      <c r="L403" s="43">
        <v>75056</v>
      </c>
      <c r="M403" s="43">
        <v>206428</v>
      </c>
      <c r="N403" s="43">
        <v>523842</v>
      </c>
      <c r="O403" s="43">
        <v>1865297</v>
      </c>
      <c r="P403" s="43">
        <v>278010</v>
      </c>
      <c r="Q403" s="43">
        <v>373982</v>
      </c>
      <c r="R403" s="43">
        <v>131039</v>
      </c>
      <c r="S403" s="43">
        <v>398602</v>
      </c>
      <c r="T403" s="43">
        <v>216785</v>
      </c>
      <c r="U403" s="43">
        <v>93182</v>
      </c>
      <c r="V403" s="43">
        <v>222355</v>
      </c>
      <c r="W403" s="43">
        <v>30950</v>
      </c>
      <c r="X403" s="44">
        <v>56433</v>
      </c>
    </row>
    <row r="404" spans="1:24" ht="20.45">
      <c r="A404" s="33" t="s">
        <v>62</v>
      </c>
      <c r="B404" s="34" t="s">
        <v>666</v>
      </c>
      <c r="C404" s="34" t="s">
        <v>998</v>
      </c>
      <c r="D404" s="35" t="s">
        <v>669</v>
      </c>
      <c r="E404" s="36">
        <v>2024</v>
      </c>
      <c r="F404" s="37" t="s">
        <v>62</v>
      </c>
      <c r="G404" s="38" t="s">
        <v>164</v>
      </c>
      <c r="H404" s="42">
        <v>1807463</v>
      </c>
      <c r="I404" s="43">
        <v>41902</v>
      </c>
      <c r="J404" s="43">
        <v>74747</v>
      </c>
      <c r="K404" s="43">
        <v>52452</v>
      </c>
      <c r="L404" s="43">
        <v>31884</v>
      </c>
      <c r="M404" s="43">
        <v>79469</v>
      </c>
      <c r="N404" s="43">
        <v>172673</v>
      </c>
      <c r="O404" s="43">
        <v>550963</v>
      </c>
      <c r="P404" s="43">
        <v>113743</v>
      </c>
      <c r="Q404" s="43">
        <v>162328</v>
      </c>
      <c r="R404" s="43">
        <v>60614</v>
      </c>
      <c r="S404" s="43">
        <v>143868</v>
      </c>
      <c r="T404" s="43">
        <v>101464</v>
      </c>
      <c r="U404" s="43">
        <v>53492</v>
      </c>
      <c r="V404" s="43">
        <v>109098</v>
      </c>
      <c r="W404" s="43">
        <v>26890</v>
      </c>
      <c r="X404" s="44">
        <v>31876</v>
      </c>
    </row>
    <row r="405" spans="1:24" ht="20.45">
      <c r="A405" s="33" t="s">
        <v>62</v>
      </c>
      <c r="B405" s="34" t="s">
        <v>666</v>
      </c>
      <c r="C405" s="34" t="s">
        <v>999</v>
      </c>
      <c r="D405" s="35" t="s">
        <v>670</v>
      </c>
      <c r="E405" s="36">
        <v>2024</v>
      </c>
      <c r="F405" s="37" t="s">
        <v>62</v>
      </c>
      <c r="G405" s="38" t="s">
        <v>164</v>
      </c>
      <c r="H405" s="42">
        <v>12039</v>
      </c>
      <c r="I405" s="43">
        <v>790</v>
      </c>
      <c r="J405" s="43">
        <v>184</v>
      </c>
      <c r="K405" s="43">
        <v>41</v>
      </c>
      <c r="L405" s="43">
        <v>46</v>
      </c>
      <c r="M405" s="43">
        <v>118</v>
      </c>
      <c r="N405" s="43">
        <v>372</v>
      </c>
      <c r="O405" s="43">
        <v>4306</v>
      </c>
      <c r="P405" s="43">
        <v>889</v>
      </c>
      <c r="Q405" s="43">
        <v>938</v>
      </c>
      <c r="R405" s="43">
        <v>124</v>
      </c>
      <c r="S405" s="43">
        <v>427</v>
      </c>
      <c r="T405" s="43">
        <v>80</v>
      </c>
      <c r="U405" s="43">
        <v>94</v>
      </c>
      <c r="V405" s="43">
        <v>139</v>
      </c>
      <c r="W405" s="43">
        <v>15</v>
      </c>
      <c r="X405" s="44">
        <v>3476</v>
      </c>
    </row>
    <row r="406" spans="1:24" ht="20.45">
      <c r="A406" s="33" t="s">
        <v>62</v>
      </c>
      <c r="B406" s="34" t="s">
        <v>666</v>
      </c>
      <c r="C406" s="34" t="s">
        <v>1000</v>
      </c>
      <c r="D406" s="35" t="s">
        <v>671</v>
      </c>
      <c r="E406" s="36">
        <v>2024</v>
      </c>
      <c r="F406" s="37" t="s">
        <v>62</v>
      </c>
      <c r="G406" s="38" t="s">
        <v>164</v>
      </c>
      <c r="H406" s="42">
        <v>33853</v>
      </c>
      <c r="I406" s="43">
        <v>56</v>
      </c>
      <c r="J406" s="43">
        <v>303</v>
      </c>
      <c r="K406" s="43">
        <v>605</v>
      </c>
      <c r="L406" s="43">
        <v>247</v>
      </c>
      <c r="M406" s="43">
        <v>918</v>
      </c>
      <c r="N406" s="43">
        <v>2515</v>
      </c>
      <c r="O406" s="43">
        <v>21971</v>
      </c>
      <c r="P406" s="43">
        <v>976</v>
      </c>
      <c r="Q406" s="43">
        <v>3482</v>
      </c>
      <c r="R406" s="43">
        <v>241</v>
      </c>
      <c r="S406" s="43">
        <v>1131</v>
      </c>
      <c r="T406" s="43">
        <v>348</v>
      </c>
      <c r="U406" s="43">
        <v>291</v>
      </c>
      <c r="V406" s="43">
        <v>460</v>
      </c>
      <c r="W406" s="43">
        <v>108</v>
      </c>
      <c r="X406" s="44">
        <v>201</v>
      </c>
    </row>
    <row r="407" spans="1:24" ht="59.45">
      <c r="A407" s="33" t="s">
        <v>64</v>
      </c>
      <c r="B407" s="34" t="s">
        <v>672</v>
      </c>
      <c r="C407" s="34" t="s">
        <v>1001</v>
      </c>
      <c r="D407" s="35" t="s">
        <v>673</v>
      </c>
      <c r="E407" s="36">
        <v>2025</v>
      </c>
      <c r="F407" s="37" t="s">
        <v>674</v>
      </c>
      <c r="G407" s="38" t="s">
        <v>675</v>
      </c>
      <c r="H407" s="39">
        <v>396</v>
      </c>
      <c r="I407" s="43">
        <v>8</v>
      </c>
      <c r="J407" s="43">
        <v>12</v>
      </c>
      <c r="K407" s="43">
        <v>32</v>
      </c>
      <c r="L407" s="43">
        <v>32</v>
      </c>
      <c r="M407" s="43">
        <v>16</v>
      </c>
      <c r="N407" s="43">
        <v>38</v>
      </c>
      <c r="O407" s="43">
        <v>61</v>
      </c>
      <c r="P407" s="43">
        <v>35</v>
      </c>
      <c r="Q407" s="43">
        <v>29</v>
      </c>
      <c r="R407" s="43">
        <v>12</v>
      </c>
      <c r="S407" s="43">
        <v>26</v>
      </c>
      <c r="T407" s="43">
        <v>10</v>
      </c>
      <c r="U407" s="43">
        <v>7</v>
      </c>
      <c r="V407" s="43">
        <v>43</v>
      </c>
      <c r="W407" s="43">
        <v>6</v>
      </c>
      <c r="X407" s="44">
        <v>13</v>
      </c>
    </row>
    <row r="408" spans="1:24" ht="59.45">
      <c r="A408" s="33" t="s">
        <v>64</v>
      </c>
      <c r="B408" s="34" t="s">
        <v>672</v>
      </c>
      <c r="C408" s="34" t="s">
        <v>1002</v>
      </c>
      <c r="D408" s="35" t="s">
        <v>676</v>
      </c>
      <c r="E408" s="36">
        <v>2024</v>
      </c>
      <c r="F408" s="37" t="s">
        <v>674</v>
      </c>
      <c r="G408" s="38" t="s">
        <v>675</v>
      </c>
      <c r="H408" s="39">
        <v>458</v>
      </c>
      <c r="I408" s="43">
        <v>5</v>
      </c>
      <c r="J408" s="43">
        <v>6</v>
      </c>
      <c r="K408" s="43">
        <v>38</v>
      </c>
      <c r="L408" s="43">
        <v>36</v>
      </c>
      <c r="M408" s="43">
        <v>13</v>
      </c>
      <c r="N408" s="43">
        <v>53</v>
      </c>
      <c r="O408" s="43">
        <v>86</v>
      </c>
      <c r="P408" s="43">
        <v>37</v>
      </c>
      <c r="Q408" s="43">
        <v>30</v>
      </c>
      <c r="R408" s="43">
        <v>13</v>
      </c>
      <c r="S408" s="43">
        <v>27</v>
      </c>
      <c r="T408" s="43">
        <v>17</v>
      </c>
      <c r="U408" s="43">
        <v>11</v>
      </c>
      <c r="V408" s="43">
        <v>51</v>
      </c>
      <c r="W408" s="43">
        <v>4</v>
      </c>
      <c r="X408" s="44">
        <v>12</v>
      </c>
    </row>
    <row r="409" spans="1:24" ht="59.45">
      <c r="A409" s="33" t="s">
        <v>64</v>
      </c>
      <c r="B409" s="34" t="s">
        <v>672</v>
      </c>
      <c r="C409" s="34" t="s">
        <v>1003</v>
      </c>
      <c r="D409" s="35" t="s">
        <v>677</v>
      </c>
      <c r="E409" s="36">
        <v>2023</v>
      </c>
      <c r="F409" s="37" t="s">
        <v>674</v>
      </c>
      <c r="G409" s="38" t="s">
        <v>675</v>
      </c>
      <c r="H409" s="39">
        <v>448</v>
      </c>
      <c r="I409" s="43">
        <v>4</v>
      </c>
      <c r="J409" s="43">
        <v>5</v>
      </c>
      <c r="K409" s="43">
        <v>28</v>
      </c>
      <c r="L409" s="43">
        <v>30</v>
      </c>
      <c r="M409" s="43">
        <v>14</v>
      </c>
      <c r="N409" s="43">
        <v>50</v>
      </c>
      <c r="O409" s="43">
        <v>85</v>
      </c>
      <c r="P409" s="43">
        <v>40</v>
      </c>
      <c r="Q409" s="43">
        <v>46</v>
      </c>
      <c r="R409" s="43">
        <v>19</v>
      </c>
      <c r="S409" s="43">
        <v>33</v>
      </c>
      <c r="T409" s="43">
        <v>10</v>
      </c>
      <c r="U409" s="43">
        <v>14</v>
      </c>
      <c r="V409" s="43">
        <v>41</v>
      </c>
      <c r="W409" s="43">
        <v>1</v>
      </c>
      <c r="X409" s="44">
        <v>13</v>
      </c>
    </row>
    <row r="410" spans="1:24" ht="59.45">
      <c r="A410" s="33" t="s">
        <v>64</v>
      </c>
      <c r="B410" s="34" t="s">
        <v>672</v>
      </c>
      <c r="C410" s="34" t="s">
        <v>1004</v>
      </c>
      <c r="D410" s="35" t="s">
        <v>678</v>
      </c>
      <c r="E410" s="36">
        <v>2025</v>
      </c>
      <c r="F410" s="37" t="s">
        <v>679</v>
      </c>
      <c r="G410" s="38" t="s">
        <v>675</v>
      </c>
      <c r="H410" s="70">
        <v>92903.79</v>
      </c>
      <c r="I410" s="71">
        <v>404.71</v>
      </c>
      <c r="J410" s="71">
        <v>1006.83</v>
      </c>
      <c r="K410" s="71">
        <v>25722.28</v>
      </c>
      <c r="L410" s="71">
        <v>5633.45</v>
      </c>
      <c r="M410" s="71">
        <v>3828.84</v>
      </c>
      <c r="N410" s="71">
        <v>7348.1</v>
      </c>
      <c r="O410" s="71">
        <v>6015.51</v>
      </c>
      <c r="P410" s="71">
        <v>1290.23</v>
      </c>
      <c r="Q410" s="71">
        <v>1788.81</v>
      </c>
      <c r="R410" s="71">
        <v>1069.6600000000001</v>
      </c>
      <c r="S410" s="71">
        <v>1418.43</v>
      </c>
      <c r="T410" s="71">
        <v>167.13</v>
      </c>
      <c r="U410" s="71">
        <v>428.46</v>
      </c>
      <c r="V410" s="71">
        <v>4440.28</v>
      </c>
      <c r="W410" s="71">
        <v>169.18</v>
      </c>
      <c r="X410" s="72">
        <v>27532.15</v>
      </c>
    </row>
    <row r="411" spans="1:24" ht="59.45">
      <c r="A411" s="33" t="s">
        <v>64</v>
      </c>
      <c r="B411" s="34" t="s">
        <v>672</v>
      </c>
      <c r="C411" s="34" t="s">
        <v>1005</v>
      </c>
      <c r="D411" s="35" t="s">
        <v>680</v>
      </c>
      <c r="E411" s="36">
        <v>2024</v>
      </c>
      <c r="F411" s="37" t="s">
        <v>679</v>
      </c>
      <c r="G411" s="38" t="s">
        <v>675</v>
      </c>
      <c r="H411" s="70">
        <v>90562.18</v>
      </c>
      <c r="I411" s="71">
        <v>158.72999999999999</v>
      </c>
      <c r="J411" s="71">
        <v>2799.5</v>
      </c>
      <c r="K411" s="71">
        <v>28523.25</v>
      </c>
      <c r="L411" s="71">
        <v>7886.24</v>
      </c>
      <c r="M411" s="71">
        <v>3353.88</v>
      </c>
      <c r="N411" s="71">
        <v>8260.83</v>
      </c>
      <c r="O411" s="71">
        <v>9980.5300000000007</v>
      </c>
      <c r="P411" s="71">
        <v>1942.25</v>
      </c>
      <c r="Q411" s="71">
        <v>1980.76</v>
      </c>
      <c r="R411" s="71">
        <v>1226.5999999999999</v>
      </c>
      <c r="S411" s="71">
        <v>2395.83</v>
      </c>
      <c r="T411" s="71">
        <v>623.16999999999996</v>
      </c>
      <c r="U411" s="71">
        <v>449.5</v>
      </c>
      <c r="V411" s="71">
        <v>2581.63</v>
      </c>
      <c r="W411" s="71">
        <v>21.85</v>
      </c>
      <c r="X411" s="72">
        <v>12690.96</v>
      </c>
    </row>
    <row r="412" spans="1:24" ht="59.45">
      <c r="A412" s="33" t="s">
        <v>64</v>
      </c>
      <c r="B412" s="34" t="s">
        <v>672</v>
      </c>
      <c r="C412" s="34" t="s">
        <v>1006</v>
      </c>
      <c r="D412" s="35" t="s">
        <v>681</v>
      </c>
      <c r="E412" s="36">
        <v>2023</v>
      </c>
      <c r="F412" s="37" t="s">
        <v>679</v>
      </c>
      <c r="G412" s="38" t="s">
        <v>675</v>
      </c>
      <c r="H412" s="70">
        <v>53118.49</v>
      </c>
      <c r="I412" s="71">
        <v>542.07000000000005</v>
      </c>
      <c r="J412" s="71">
        <v>942.36</v>
      </c>
      <c r="K412" s="71">
        <v>14566.33</v>
      </c>
      <c r="L412" s="71">
        <v>6008.51</v>
      </c>
      <c r="M412" s="71">
        <v>935.75</v>
      </c>
      <c r="N412" s="71">
        <v>8460.16</v>
      </c>
      <c r="O412" s="71">
        <v>6612.11</v>
      </c>
      <c r="P412" s="71">
        <v>917.84</v>
      </c>
      <c r="Q412" s="71">
        <v>2171.88</v>
      </c>
      <c r="R412" s="71">
        <v>1331.77</v>
      </c>
      <c r="S412" s="71">
        <v>2827.72</v>
      </c>
      <c r="T412" s="71">
        <v>458.21</v>
      </c>
      <c r="U412" s="71">
        <v>695.83</v>
      </c>
      <c r="V412" s="71">
        <v>1568.52</v>
      </c>
      <c r="W412" s="71">
        <v>2.2000000000000002</v>
      </c>
      <c r="X412" s="72">
        <v>1417.48</v>
      </c>
    </row>
    <row r="413" spans="1:24" ht="20.45">
      <c r="A413" s="33" t="s">
        <v>64</v>
      </c>
      <c r="B413" s="34" t="s">
        <v>682</v>
      </c>
      <c r="C413" s="34" t="s">
        <v>1007</v>
      </c>
      <c r="D413" s="35" t="s">
        <v>683</v>
      </c>
      <c r="E413" s="36">
        <v>2023</v>
      </c>
      <c r="F413" s="37" t="s">
        <v>679</v>
      </c>
      <c r="G413" s="38" t="s">
        <v>684</v>
      </c>
      <c r="H413" s="42"/>
      <c r="I413" s="43">
        <v>291</v>
      </c>
      <c r="J413" s="43">
        <v>294</v>
      </c>
      <c r="K413" s="43">
        <v>424</v>
      </c>
      <c r="L413" s="43">
        <v>343</v>
      </c>
      <c r="M413" s="43">
        <v>430</v>
      </c>
      <c r="N413" s="43">
        <v>902</v>
      </c>
      <c r="O413" s="43">
        <v>1924</v>
      </c>
      <c r="P413" s="43">
        <v>458</v>
      </c>
      <c r="Q413" s="43">
        <v>660</v>
      </c>
      <c r="R413" s="43">
        <v>481</v>
      </c>
      <c r="S413" s="43">
        <v>952</v>
      </c>
      <c r="T413" s="43">
        <v>789</v>
      </c>
      <c r="U413" s="43">
        <v>441</v>
      </c>
      <c r="V413" s="43">
        <v>812</v>
      </c>
      <c r="W413" s="43">
        <v>282</v>
      </c>
      <c r="X413" s="44">
        <v>336</v>
      </c>
    </row>
    <row r="414" spans="1:24" ht="20.45">
      <c r="A414" s="33" t="s">
        <v>64</v>
      </c>
      <c r="B414" s="34" t="s">
        <v>682</v>
      </c>
      <c r="C414" s="34" t="s">
        <v>1008</v>
      </c>
      <c r="D414" s="35" t="s">
        <v>685</v>
      </c>
      <c r="E414" s="36">
        <v>2024</v>
      </c>
      <c r="F414" s="37" t="s">
        <v>679</v>
      </c>
      <c r="G414" s="38" t="s">
        <v>684</v>
      </c>
      <c r="H414" s="42"/>
      <c r="I414" s="43">
        <v>300</v>
      </c>
      <c r="J414" s="43">
        <v>223</v>
      </c>
      <c r="K414" s="43">
        <v>363</v>
      </c>
      <c r="L414" s="43">
        <v>338</v>
      </c>
      <c r="M414" s="43">
        <v>368</v>
      </c>
      <c r="N414" s="43">
        <v>775</v>
      </c>
      <c r="O414" s="43">
        <v>1862</v>
      </c>
      <c r="P414" s="43">
        <v>516</v>
      </c>
      <c r="Q414" s="43">
        <v>702</v>
      </c>
      <c r="R414" s="43">
        <v>515</v>
      </c>
      <c r="S414" s="43">
        <v>895</v>
      </c>
      <c r="T414" s="43">
        <v>781</v>
      </c>
      <c r="U414" s="43">
        <v>365</v>
      </c>
      <c r="V414" s="43">
        <v>801</v>
      </c>
      <c r="W414" s="43">
        <v>208</v>
      </c>
      <c r="X414" s="44">
        <v>318</v>
      </c>
    </row>
    <row r="415" spans="1:24" ht="20.45">
      <c r="A415" s="33" t="s">
        <v>64</v>
      </c>
      <c r="B415" s="34" t="s">
        <v>682</v>
      </c>
      <c r="C415" s="34" t="s">
        <v>1009</v>
      </c>
      <c r="D415" s="35" t="s">
        <v>686</v>
      </c>
      <c r="E415" s="36">
        <v>2025</v>
      </c>
      <c r="F415" s="37" t="s">
        <v>679</v>
      </c>
      <c r="G415" s="38" t="s">
        <v>684</v>
      </c>
      <c r="H415" s="42"/>
      <c r="I415" s="43">
        <v>340</v>
      </c>
      <c r="J415" s="43">
        <v>357</v>
      </c>
      <c r="K415" s="43">
        <v>372</v>
      </c>
      <c r="L415" s="43">
        <v>380</v>
      </c>
      <c r="M415" s="43">
        <v>484</v>
      </c>
      <c r="N415" s="43">
        <v>870</v>
      </c>
      <c r="O415" s="43">
        <v>1714</v>
      </c>
      <c r="P415" s="43">
        <v>509</v>
      </c>
      <c r="Q415" s="43">
        <v>681</v>
      </c>
      <c r="R415" s="43">
        <v>517</v>
      </c>
      <c r="S415" s="43">
        <v>1028</v>
      </c>
      <c r="T415" s="43">
        <v>870</v>
      </c>
      <c r="U415" s="43">
        <v>423</v>
      </c>
      <c r="V415" s="43">
        <v>994</v>
      </c>
      <c r="W415" s="43">
        <v>295</v>
      </c>
      <c r="X415" s="44">
        <v>370</v>
      </c>
    </row>
    <row r="416" spans="1:24" ht="39.6">
      <c r="A416" s="33" t="s">
        <v>64</v>
      </c>
      <c r="B416" s="34" t="s">
        <v>687</v>
      </c>
      <c r="C416" s="34" t="s">
        <v>1010</v>
      </c>
      <c r="D416" s="35" t="s">
        <v>688</v>
      </c>
      <c r="E416" s="36">
        <v>2023</v>
      </c>
      <c r="F416" s="37" t="s">
        <v>689</v>
      </c>
      <c r="G416" s="38" t="s">
        <v>684</v>
      </c>
      <c r="H416" s="42"/>
      <c r="I416" s="43">
        <v>1121</v>
      </c>
      <c r="J416" s="43">
        <v>733</v>
      </c>
      <c r="K416" s="43">
        <v>594</v>
      </c>
      <c r="L416" s="43">
        <v>1074</v>
      </c>
      <c r="M416" s="43">
        <v>495</v>
      </c>
      <c r="N416" s="43">
        <v>449</v>
      </c>
      <c r="O416" s="43">
        <v>230</v>
      </c>
      <c r="P416" s="43">
        <v>450</v>
      </c>
      <c r="Q416" s="43">
        <v>568</v>
      </c>
      <c r="R416" s="43">
        <v>926</v>
      </c>
      <c r="S416" s="43">
        <v>566</v>
      </c>
      <c r="T416" s="43">
        <v>768</v>
      </c>
      <c r="U416" s="43">
        <v>1072</v>
      </c>
      <c r="V416" s="43">
        <v>895</v>
      </c>
      <c r="W416" s="43">
        <v>2601</v>
      </c>
      <c r="X416" s="44">
        <v>1846</v>
      </c>
    </row>
    <row r="417" spans="1:24" ht="39.6">
      <c r="A417" s="33" t="s">
        <v>64</v>
      </c>
      <c r="B417" s="34" t="s">
        <v>687</v>
      </c>
      <c r="C417" s="34" t="s">
        <v>1011</v>
      </c>
      <c r="D417" s="35" t="s">
        <v>690</v>
      </c>
      <c r="E417" s="36">
        <v>2024</v>
      </c>
      <c r="F417" s="37" t="s">
        <v>689</v>
      </c>
      <c r="G417" s="38" t="s">
        <v>684</v>
      </c>
      <c r="H417" s="42"/>
      <c r="I417" s="43">
        <v>1145</v>
      </c>
      <c r="J417" s="43">
        <v>549</v>
      </c>
      <c r="K417" s="43">
        <v>505</v>
      </c>
      <c r="L417" s="43">
        <v>1057</v>
      </c>
      <c r="M417" s="43">
        <v>428</v>
      </c>
      <c r="N417" s="43">
        <v>383</v>
      </c>
      <c r="O417" s="43">
        <v>221</v>
      </c>
      <c r="P417" s="43">
        <v>503</v>
      </c>
      <c r="Q417" s="43">
        <v>599</v>
      </c>
      <c r="R417" s="43">
        <v>987</v>
      </c>
      <c r="S417" s="43">
        <v>531</v>
      </c>
      <c r="T417" s="43">
        <v>757</v>
      </c>
      <c r="U417" s="43">
        <v>884</v>
      </c>
      <c r="V417" s="43">
        <v>878</v>
      </c>
      <c r="W417" s="43">
        <v>1912</v>
      </c>
      <c r="X417" s="44">
        <v>1734</v>
      </c>
    </row>
    <row r="418" spans="1:24" ht="39.6">
      <c r="A418" s="33" t="s">
        <v>64</v>
      </c>
      <c r="B418" s="34" t="s">
        <v>687</v>
      </c>
      <c r="C418" s="34" t="s">
        <v>1012</v>
      </c>
      <c r="D418" s="35" t="s">
        <v>691</v>
      </c>
      <c r="E418" s="36">
        <v>2025</v>
      </c>
      <c r="F418" s="37" t="s">
        <v>689</v>
      </c>
      <c r="G418" s="38" t="s">
        <v>684</v>
      </c>
      <c r="H418" s="42"/>
      <c r="I418" s="43">
        <v>1291</v>
      </c>
      <c r="J418" s="43">
        <v>869</v>
      </c>
      <c r="K418" s="43">
        <v>515</v>
      </c>
      <c r="L418" s="43">
        <v>1185</v>
      </c>
      <c r="M418" s="43">
        <v>544</v>
      </c>
      <c r="N418" s="43">
        <v>427</v>
      </c>
      <c r="O418" s="43">
        <v>202</v>
      </c>
      <c r="P418" s="43">
        <v>493</v>
      </c>
      <c r="Q418" s="43">
        <v>577</v>
      </c>
      <c r="R418" s="43">
        <v>986</v>
      </c>
      <c r="S418" s="43">
        <v>608</v>
      </c>
      <c r="T418" s="43">
        <v>840</v>
      </c>
      <c r="U418" s="43">
        <v>1022</v>
      </c>
      <c r="V418" s="43">
        <v>1085</v>
      </c>
      <c r="W418" s="43">
        <v>2708</v>
      </c>
      <c r="X418" s="44">
        <v>2009</v>
      </c>
    </row>
    <row r="419" spans="1:24" ht="20.45">
      <c r="A419" s="33" t="s">
        <v>66</v>
      </c>
      <c r="B419" s="34" t="s">
        <v>692</v>
      </c>
      <c r="C419" s="34">
        <v>2020</v>
      </c>
      <c r="D419" s="35" t="s">
        <v>693</v>
      </c>
      <c r="E419" s="36">
        <v>2020</v>
      </c>
      <c r="F419" s="37" t="s">
        <v>694</v>
      </c>
      <c r="G419" s="38" t="s">
        <v>164</v>
      </c>
      <c r="H419" s="39"/>
      <c r="I419" s="43">
        <v>0</v>
      </c>
      <c r="J419" s="43">
        <v>1321</v>
      </c>
      <c r="K419" s="43">
        <v>770</v>
      </c>
      <c r="L419" s="43">
        <v>1106</v>
      </c>
      <c r="M419" s="43">
        <v>4859</v>
      </c>
      <c r="N419" s="43">
        <v>146</v>
      </c>
      <c r="O419" s="43">
        <v>0</v>
      </c>
      <c r="P419" s="43">
        <v>1</v>
      </c>
      <c r="Q419" s="43">
        <v>3</v>
      </c>
      <c r="R419" s="43">
        <v>3</v>
      </c>
      <c r="S419" s="43">
        <v>430</v>
      </c>
      <c r="T419" s="43">
        <v>227</v>
      </c>
      <c r="U419" s="43">
        <v>1784</v>
      </c>
      <c r="V419" s="43">
        <v>885737</v>
      </c>
      <c r="W419" s="43">
        <v>428620</v>
      </c>
      <c r="X419" s="44">
        <v>180479</v>
      </c>
    </row>
    <row r="420" spans="1:24" ht="20.45">
      <c r="A420" s="33" t="s">
        <v>66</v>
      </c>
      <c r="B420" s="34" t="s">
        <v>692</v>
      </c>
      <c r="C420" s="34">
        <v>2021</v>
      </c>
      <c r="D420" s="35" t="s">
        <v>695</v>
      </c>
      <c r="E420" s="36">
        <v>2021</v>
      </c>
      <c r="F420" s="37" t="s">
        <v>694</v>
      </c>
      <c r="G420" s="38" t="s">
        <v>164</v>
      </c>
      <c r="H420" s="39"/>
      <c r="I420" s="43">
        <v>0</v>
      </c>
      <c r="J420" s="43">
        <v>1422</v>
      </c>
      <c r="K420" s="43">
        <v>97</v>
      </c>
      <c r="L420" s="43">
        <v>794</v>
      </c>
      <c r="M420" s="43">
        <v>4857</v>
      </c>
      <c r="N420" s="43">
        <v>160</v>
      </c>
      <c r="O420" s="43">
        <v>0</v>
      </c>
      <c r="P420" s="43">
        <v>4</v>
      </c>
      <c r="Q420" s="43">
        <v>101</v>
      </c>
      <c r="R420" s="43">
        <v>2</v>
      </c>
      <c r="S420" s="43">
        <v>399</v>
      </c>
      <c r="T420" s="43">
        <v>221</v>
      </c>
      <c r="U420" s="43">
        <v>2194</v>
      </c>
      <c r="V420" s="43">
        <v>804123</v>
      </c>
      <c r="W420" s="43">
        <v>482644</v>
      </c>
      <c r="X420" s="44">
        <v>146498</v>
      </c>
    </row>
    <row r="421" spans="1:24" ht="20.45">
      <c r="A421" s="33" t="s">
        <v>66</v>
      </c>
      <c r="B421" s="34" t="s">
        <v>692</v>
      </c>
      <c r="C421" s="34">
        <v>2022</v>
      </c>
      <c r="D421" s="35" t="s">
        <v>696</v>
      </c>
      <c r="E421" s="36">
        <v>2022</v>
      </c>
      <c r="F421" s="37" t="s">
        <v>694</v>
      </c>
      <c r="G421" s="38" t="s">
        <v>164</v>
      </c>
      <c r="H421" s="39"/>
      <c r="I421" s="43">
        <v>0</v>
      </c>
      <c r="J421" s="43">
        <v>2128</v>
      </c>
      <c r="K421" s="43">
        <v>97</v>
      </c>
      <c r="L421" s="43">
        <v>1057</v>
      </c>
      <c r="M421" s="43">
        <v>4499</v>
      </c>
      <c r="N421" s="43">
        <v>135</v>
      </c>
      <c r="O421" s="43">
        <v>13</v>
      </c>
      <c r="P421" s="43">
        <v>0</v>
      </c>
      <c r="Q421" s="43">
        <v>60</v>
      </c>
      <c r="R421" s="43">
        <v>0</v>
      </c>
      <c r="S421" s="43">
        <v>100</v>
      </c>
      <c r="T421" s="43">
        <v>293</v>
      </c>
      <c r="U421" s="43">
        <v>2372</v>
      </c>
      <c r="V421" s="43">
        <v>979097</v>
      </c>
      <c r="W421" s="43">
        <v>366987</v>
      </c>
      <c r="X421" s="44">
        <v>167338</v>
      </c>
    </row>
    <row r="422" spans="1:24" ht="20.45">
      <c r="A422" s="33" t="s">
        <v>66</v>
      </c>
      <c r="B422" s="34" t="s">
        <v>692</v>
      </c>
      <c r="C422" s="34">
        <v>2023</v>
      </c>
      <c r="D422" s="35" t="s">
        <v>697</v>
      </c>
      <c r="E422" s="36">
        <v>2023</v>
      </c>
      <c r="F422" s="37" t="s">
        <v>694</v>
      </c>
      <c r="G422" s="38" t="s">
        <v>164</v>
      </c>
      <c r="H422" s="39"/>
      <c r="I422" s="43">
        <v>1</v>
      </c>
      <c r="J422" s="43">
        <v>985</v>
      </c>
      <c r="K422" s="43">
        <v>86</v>
      </c>
      <c r="L422" s="43">
        <v>754</v>
      </c>
      <c r="M422" s="43">
        <v>6906</v>
      </c>
      <c r="N422" s="43">
        <v>68</v>
      </c>
      <c r="O422" s="43">
        <v>10</v>
      </c>
      <c r="P422" s="43">
        <v>0</v>
      </c>
      <c r="Q422" s="43">
        <v>147</v>
      </c>
      <c r="R422" s="43">
        <v>0</v>
      </c>
      <c r="S422" s="43">
        <v>272</v>
      </c>
      <c r="T422" s="43">
        <v>299</v>
      </c>
      <c r="U422" s="43">
        <v>2123</v>
      </c>
      <c r="V422" s="43">
        <v>849226</v>
      </c>
      <c r="W422" s="43">
        <v>513182</v>
      </c>
      <c r="X422" s="44">
        <v>128893</v>
      </c>
    </row>
    <row r="423" spans="1:24" ht="20.45">
      <c r="A423" s="33" t="s">
        <v>66</v>
      </c>
      <c r="B423" s="34" t="s">
        <v>692</v>
      </c>
      <c r="C423" s="34">
        <v>2024</v>
      </c>
      <c r="D423" s="35" t="s">
        <v>698</v>
      </c>
      <c r="E423" s="36">
        <v>2024</v>
      </c>
      <c r="F423" s="37" t="s">
        <v>694</v>
      </c>
      <c r="G423" s="38" t="s">
        <v>164</v>
      </c>
      <c r="H423" s="39"/>
      <c r="I423" s="43">
        <v>0</v>
      </c>
      <c r="J423" s="43">
        <v>1296</v>
      </c>
      <c r="K423" s="43">
        <v>84</v>
      </c>
      <c r="L423" s="43">
        <v>634</v>
      </c>
      <c r="M423" s="43">
        <v>5153</v>
      </c>
      <c r="N423" s="43">
        <v>2</v>
      </c>
      <c r="O423" s="43">
        <v>11</v>
      </c>
      <c r="P423" s="43">
        <v>0</v>
      </c>
      <c r="Q423" s="43">
        <v>459</v>
      </c>
      <c r="R423" s="43">
        <v>0</v>
      </c>
      <c r="S423" s="43">
        <v>51</v>
      </c>
      <c r="T423" s="43">
        <v>337</v>
      </c>
      <c r="U423" s="43">
        <v>1944</v>
      </c>
      <c r="V423" s="43">
        <v>958507</v>
      </c>
      <c r="W423" s="43">
        <v>388737</v>
      </c>
      <c r="X423" s="44">
        <v>106248</v>
      </c>
    </row>
    <row r="424" spans="1:24" ht="20.45">
      <c r="A424" s="33" t="s">
        <v>66</v>
      </c>
      <c r="B424" s="34" t="s">
        <v>699</v>
      </c>
      <c r="C424" s="34">
        <v>2020</v>
      </c>
      <c r="D424" s="35" t="s">
        <v>700</v>
      </c>
      <c r="E424" s="36">
        <v>2020</v>
      </c>
      <c r="F424" s="37" t="s">
        <v>694</v>
      </c>
      <c r="G424" s="38" t="s">
        <v>164</v>
      </c>
      <c r="H424" s="39"/>
      <c r="I424" s="43">
        <v>119306</v>
      </c>
      <c r="J424" s="43">
        <v>71815</v>
      </c>
      <c r="K424" s="43">
        <v>124247</v>
      </c>
      <c r="L424" s="43">
        <v>156284</v>
      </c>
      <c r="M424" s="43">
        <v>115712</v>
      </c>
      <c r="N424" s="43">
        <v>24092</v>
      </c>
      <c r="O424" s="43" t="s">
        <v>1013</v>
      </c>
      <c r="P424" s="43">
        <v>2840</v>
      </c>
      <c r="Q424" s="43">
        <v>16151</v>
      </c>
      <c r="R424" s="43">
        <v>430</v>
      </c>
      <c r="S424" s="43">
        <v>506578</v>
      </c>
      <c r="T424" s="43">
        <v>1593</v>
      </c>
      <c r="U424" s="43">
        <v>71056</v>
      </c>
      <c r="V424" s="43">
        <v>160221</v>
      </c>
      <c r="W424" s="43">
        <v>11711</v>
      </c>
      <c r="X424" s="44">
        <v>32346</v>
      </c>
    </row>
    <row r="425" spans="1:24" ht="20.45">
      <c r="A425" s="33" t="s">
        <v>66</v>
      </c>
      <c r="B425" s="34" t="s">
        <v>699</v>
      </c>
      <c r="C425" s="34">
        <v>2021</v>
      </c>
      <c r="D425" s="35" t="s">
        <v>701</v>
      </c>
      <c r="E425" s="36">
        <v>2021</v>
      </c>
      <c r="F425" s="37" t="s">
        <v>694</v>
      </c>
      <c r="G425" s="38" t="s">
        <v>164</v>
      </c>
      <c r="H425" s="39"/>
      <c r="I425" s="43">
        <v>118078</v>
      </c>
      <c r="J425" s="43">
        <v>132857</v>
      </c>
      <c r="K425" s="43">
        <v>139322</v>
      </c>
      <c r="L425" s="43">
        <v>184737</v>
      </c>
      <c r="M425" s="43">
        <v>113751</v>
      </c>
      <c r="N425" s="43">
        <v>28601</v>
      </c>
      <c r="O425" s="43" t="s">
        <v>1013</v>
      </c>
      <c r="P425" s="43">
        <v>3096</v>
      </c>
      <c r="Q425" s="43">
        <v>20861</v>
      </c>
      <c r="R425" s="43">
        <v>293</v>
      </c>
      <c r="S425" s="43">
        <v>558889</v>
      </c>
      <c r="T425" s="43">
        <v>2119</v>
      </c>
      <c r="U425" s="43">
        <v>90901</v>
      </c>
      <c r="V425" s="43">
        <v>144255</v>
      </c>
      <c r="W425" s="43">
        <v>16844</v>
      </c>
      <c r="X425" s="44">
        <v>20008</v>
      </c>
    </row>
    <row r="426" spans="1:24" ht="20.45">
      <c r="A426" s="33" t="s">
        <v>66</v>
      </c>
      <c r="B426" s="34" t="s">
        <v>699</v>
      </c>
      <c r="C426" s="34">
        <v>2022</v>
      </c>
      <c r="D426" s="35" t="s">
        <v>702</v>
      </c>
      <c r="E426" s="36">
        <v>2022</v>
      </c>
      <c r="F426" s="37" t="s">
        <v>694</v>
      </c>
      <c r="G426" s="38" t="s">
        <v>164</v>
      </c>
      <c r="H426" s="39"/>
      <c r="I426" s="43">
        <v>218157</v>
      </c>
      <c r="J426" s="43">
        <v>115539</v>
      </c>
      <c r="K426" s="43">
        <v>184173</v>
      </c>
      <c r="L426" s="43">
        <v>198857</v>
      </c>
      <c r="M426" s="43">
        <v>144129</v>
      </c>
      <c r="N426" s="43">
        <v>41256</v>
      </c>
      <c r="O426" s="43" t="s">
        <v>1013</v>
      </c>
      <c r="P426" s="43">
        <v>5314</v>
      </c>
      <c r="Q426" s="43">
        <v>31432</v>
      </c>
      <c r="R426" s="43">
        <v>385</v>
      </c>
      <c r="S426" s="43">
        <v>488427</v>
      </c>
      <c r="T426" s="43">
        <v>2355</v>
      </c>
      <c r="U426" s="43">
        <v>96386</v>
      </c>
      <c r="V426" s="43">
        <v>141437</v>
      </c>
      <c r="W426" s="43">
        <v>20697</v>
      </c>
      <c r="X426" s="44">
        <v>22435</v>
      </c>
    </row>
    <row r="427" spans="1:24" ht="20.45">
      <c r="A427" s="33" t="s">
        <v>66</v>
      </c>
      <c r="B427" s="34" t="s">
        <v>699</v>
      </c>
      <c r="C427" s="34">
        <v>2023</v>
      </c>
      <c r="D427" s="35" t="s">
        <v>703</v>
      </c>
      <c r="E427" s="36">
        <v>2023</v>
      </c>
      <c r="F427" s="37" t="s">
        <v>694</v>
      </c>
      <c r="G427" s="38" t="s">
        <v>164</v>
      </c>
      <c r="H427" s="39"/>
      <c r="I427" s="43">
        <v>97244</v>
      </c>
      <c r="J427" s="43">
        <v>63080</v>
      </c>
      <c r="K427" s="43">
        <v>128973</v>
      </c>
      <c r="L427" s="43">
        <v>153804</v>
      </c>
      <c r="M427" s="43">
        <v>133789</v>
      </c>
      <c r="N427" s="43">
        <v>44539</v>
      </c>
      <c r="O427" s="43" t="s">
        <v>1013</v>
      </c>
      <c r="P427" s="43">
        <v>3427</v>
      </c>
      <c r="Q427" s="43">
        <v>27872</v>
      </c>
      <c r="R427" s="43">
        <v>312</v>
      </c>
      <c r="S427" s="43">
        <v>711130</v>
      </c>
      <c r="T427" s="43">
        <v>2439</v>
      </c>
      <c r="U427" s="43">
        <v>75151</v>
      </c>
      <c r="V427" s="43">
        <v>135080</v>
      </c>
      <c r="W427" s="43">
        <v>16054</v>
      </c>
      <c r="X427" s="44">
        <v>24127</v>
      </c>
    </row>
    <row r="428" spans="1:24" ht="20.45">
      <c r="A428" s="33" t="s">
        <v>66</v>
      </c>
      <c r="B428" s="34" t="s">
        <v>699</v>
      </c>
      <c r="C428" s="34">
        <v>2024</v>
      </c>
      <c r="D428" s="35" t="s">
        <v>704</v>
      </c>
      <c r="E428" s="36">
        <v>2024</v>
      </c>
      <c r="F428" s="37" t="s">
        <v>694</v>
      </c>
      <c r="G428" s="38" t="s">
        <v>164</v>
      </c>
      <c r="H428" s="39"/>
      <c r="I428" s="43">
        <v>175811</v>
      </c>
      <c r="J428" s="43">
        <v>84722</v>
      </c>
      <c r="K428" s="43">
        <v>117040</v>
      </c>
      <c r="L428" s="43">
        <v>169722</v>
      </c>
      <c r="M428" s="43">
        <v>127023</v>
      </c>
      <c r="N428" s="43">
        <v>56308</v>
      </c>
      <c r="O428" s="43" t="s">
        <v>1013</v>
      </c>
      <c r="P428" s="43">
        <v>2853</v>
      </c>
      <c r="Q428" s="43">
        <v>32323</v>
      </c>
      <c r="R428" s="43">
        <v>232</v>
      </c>
      <c r="S428" s="43">
        <v>356976</v>
      </c>
      <c r="T428" s="43">
        <v>2140</v>
      </c>
      <c r="U428" s="43">
        <v>79114</v>
      </c>
      <c r="V428" s="43">
        <v>126412</v>
      </c>
      <c r="W428" s="43">
        <v>15332</v>
      </c>
      <c r="X428" s="44">
        <v>23071</v>
      </c>
    </row>
    <row r="429" spans="1:24" ht="20.45">
      <c r="A429" s="33" t="s">
        <v>66</v>
      </c>
      <c r="B429" s="34" t="s">
        <v>705</v>
      </c>
      <c r="C429" s="34">
        <v>2020</v>
      </c>
      <c r="D429" s="35" t="s">
        <v>706</v>
      </c>
      <c r="E429" s="36">
        <v>2020</v>
      </c>
      <c r="F429" s="37" t="s">
        <v>694</v>
      </c>
      <c r="G429" s="38" t="s">
        <v>164</v>
      </c>
      <c r="H429" s="39"/>
      <c r="I429" s="43">
        <v>34873</v>
      </c>
      <c r="J429" s="43">
        <v>122222</v>
      </c>
      <c r="K429" s="43">
        <v>25162</v>
      </c>
      <c r="L429" s="43"/>
      <c r="M429" s="43">
        <v>942</v>
      </c>
      <c r="N429" s="43">
        <v>7720</v>
      </c>
      <c r="O429" s="43" t="s">
        <v>1013</v>
      </c>
      <c r="P429" s="43"/>
      <c r="Q429" s="43"/>
      <c r="R429" s="43"/>
      <c r="S429" s="43">
        <v>521381</v>
      </c>
      <c r="T429" s="43"/>
      <c r="U429" s="43">
        <v>50</v>
      </c>
      <c r="V429" s="43">
        <v>48</v>
      </c>
      <c r="W429" s="43">
        <v>14619</v>
      </c>
      <c r="X429" s="44">
        <v>0</v>
      </c>
    </row>
    <row r="430" spans="1:24" ht="20.45">
      <c r="A430" s="33" t="s">
        <v>66</v>
      </c>
      <c r="B430" s="34" t="s">
        <v>705</v>
      </c>
      <c r="C430" s="34">
        <v>2021</v>
      </c>
      <c r="D430" s="35" t="s">
        <v>707</v>
      </c>
      <c r="E430" s="36">
        <v>2021</v>
      </c>
      <c r="F430" s="37" t="s">
        <v>694</v>
      </c>
      <c r="G430" s="38" t="s">
        <v>164</v>
      </c>
      <c r="H430" s="39"/>
      <c r="I430" s="43">
        <v>41103</v>
      </c>
      <c r="J430" s="43">
        <v>139198</v>
      </c>
      <c r="K430" s="43">
        <v>36476</v>
      </c>
      <c r="L430" s="43"/>
      <c r="M430" s="43">
        <v>468</v>
      </c>
      <c r="N430" s="43">
        <v>8107</v>
      </c>
      <c r="O430" s="43" t="s">
        <v>1013</v>
      </c>
      <c r="P430" s="43"/>
      <c r="Q430" s="43"/>
      <c r="R430" s="43"/>
      <c r="S430" s="43">
        <v>546680</v>
      </c>
      <c r="T430" s="43"/>
      <c r="U430" s="43">
        <v>0</v>
      </c>
      <c r="V430" s="43">
        <v>11</v>
      </c>
      <c r="W430" s="43">
        <v>13980</v>
      </c>
      <c r="X430" s="44">
        <v>0</v>
      </c>
    </row>
    <row r="431" spans="1:24" ht="20.45">
      <c r="A431" s="33" t="s">
        <v>66</v>
      </c>
      <c r="B431" s="34" t="s">
        <v>705</v>
      </c>
      <c r="C431" s="34">
        <v>2022</v>
      </c>
      <c r="D431" s="35" t="s">
        <v>708</v>
      </c>
      <c r="E431" s="36">
        <v>2022</v>
      </c>
      <c r="F431" s="37" t="s">
        <v>694</v>
      </c>
      <c r="G431" s="38" t="s">
        <v>164</v>
      </c>
      <c r="H431" s="39"/>
      <c r="I431" s="43">
        <v>14495</v>
      </c>
      <c r="J431" s="43">
        <v>161565</v>
      </c>
      <c r="K431" s="43">
        <v>28069</v>
      </c>
      <c r="L431" s="43"/>
      <c r="M431" s="43">
        <v>809</v>
      </c>
      <c r="N431" s="43">
        <v>9118</v>
      </c>
      <c r="O431" s="43" t="s">
        <v>1013</v>
      </c>
      <c r="P431" s="43"/>
      <c r="Q431" s="43"/>
      <c r="R431" s="43"/>
      <c r="S431" s="43">
        <v>616475</v>
      </c>
      <c r="T431" s="43"/>
      <c r="U431" s="43">
        <v>10</v>
      </c>
      <c r="V431" s="43">
        <v>60</v>
      </c>
      <c r="W431" s="43">
        <v>13346</v>
      </c>
      <c r="X431" s="44">
        <v>10</v>
      </c>
    </row>
    <row r="432" spans="1:24" ht="20.45">
      <c r="A432" s="33" t="s">
        <v>66</v>
      </c>
      <c r="B432" s="34" t="s">
        <v>705</v>
      </c>
      <c r="C432" s="34">
        <v>2023</v>
      </c>
      <c r="D432" s="35" t="s">
        <v>709</v>
      </c>
      <c r="E432" s="36">
        <v>2023</v>
      </c>
      <c r="F432" s="37" t="s">
        <v>694</v>
      </c>
      <c r="G432" s="38" t="s">
        <v>164</v>
      </c>
      <c r="H432" s="39"/>
      <c r="I432" s="43">
        <v>38</v>
      </c>
      <c r="J432" s="43">
        <v>59507</v>
      </c>
      <c r="K432" s="43">
        <v>58416</v>
      </c>
      <c r="L432" s="43"/>
      <c r="M432" s="43">
        <v>591</v>
      </c>
      <c r="N432" s="43">
        <v>9507</v>
      </c>
      <c r="O432" s="43" t="s">
        <v>1013</v>
      </c>
      <c r="P432" s="43"/>
      <c r="Q432" s="43"/>
      <c r="R432" s="43"/>
      <c r="S432" s="43">
        <v>696414</v>
      </c>
      <c r="T432" s="43"/>
      <c r="U432" s="43">
        <v>0</v>
      </c>
      <c r="V432" s="43">
        <v>93</v>
      </c>
      <c r="W432" s="43">
        <v>16164</v>
      </c>
      <c r="X432" s="44">
        <v>0</v>
      </c>
    </row>
    <row r="433" spans="1:24" ht="20.45">
      <c r="A433" s="78" t="s">
        <v>66</v>
      </c>
      <c r="B433" s="79" t="s">
        <v>705</v>
      </c>
      <c r="C433" s="79">
        <v>2024</v>
      </c>
      <c r="D433" s="80" t="s">
        <v>710</v>
      </c>
      <c r="E433" s="81">
        <v>2024</v>
      </c>
      <c r="F433" s="82" t="s">
        <v>694</v>
      </c>
      <c r="G433" s="83" t="s">
        <v>164</v>
      </c>
      <c r="H433" s="84"/>
      <c r="I433" s="85">
        <v>15893</v>
      </c>
      <c r="J433" s="85">
        <v>86870</v>
      </c>
      <c r="K433" s="85">
        <v>54299</v>
      </c>
      <c r="L433" s="85"/>
      <c r="M433" s="85">
        <v>2141</v>
      </c>
      <c r="N433" s="85">
        <v>9634</v>
      </c>
      <c r="O433" s="85" t="s">
        <v>1013</v>
      </c>
      <c r="P433" s="85"/>
      <c r="Q433" s="85"/>
      <c r="R433" s="85"/>
      <c r="S433" s="85">
        <v>887543</v>
      </c>
      <c r="T433" s="85"/>
      <c r="U433" s="85">
        <v>0</v>
      </c>
      <c r="V433" s="85">
        <v>36</v>
      </c>
      <c r="W433" s="85">
        <v>13090</v>
      </c>
      <c r="X433" s="86">
        <v>0</v>
      </c>
    </row>
  </sheetData>
  <autoFilter ref="A4:X433" xr:uid="{4AE7E804-FFB9-4B10-8816-53E5AF326C2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Joaquín  Sierra</dc:creator>
  <cp:keywords/>
  <dc:description/>
  <cp:lastModifiedBy>Usuario invitado</cp:lastModifiedBy>
  <cp:revision/>
  <dcterms:created xsi:type="dcterms:W3CDTF">2026-10-01T20:25:39Z</dcterms:created>
  <dcterms:modified xsi:type="dcterms:W3CDTF">2026-10-02T14:42:22Z</dcterms:modified>
  <cp:category/>
  <cp:contentStatus/>
</cp:coreProperties>
</file>